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192.168.0.70\share\共有C\51-ウェディング\01ブライダル日報\"/>
    </mc:Choice>
  </mc:AlternateContent>
  <xr:revisionPtr revIDLastSave="0" documentId="13_ncr:1_{9A7AD7F7-701F-4484-B20C-D9E9F7C7BA43}" xr6:coauthVersionLast="47" xr6:coauthVersionMax="47" xr10:uidLastSave="{00000000-0000-0000-0000-000000000000}"/>
  <bookViews>
    <workbookView xWindow="-108" yWindow="-108" windowWidth="23256" windowHeight="12456" xr2:uid="{00000000-000D-0000-FFFF-FFFF00000000}"/>
  </bookViews>
  <sheets>
    <sheet name="顧客データ" sheetId="1" r:id="rId1"/>
    <sheet name="受注日報" sheetId="3" r:id="rId2"/>
    <sheet name="SNS日報" sheetId="4" r:id="rId3"/>
    <sheet name="解析データ" sheetId="2" r:id="rId4"/>
  </sheets>
  <definedNames>
    <definedName name="_xlnm._FilterDatabase" localSheetId="0" hidden="1">顧客データ!$A$3:$W$232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3" i="2" l="1"/>
  <c r="K5" i="2"/>
  <c r="AK70" i="2"/>
  <c r="AJ70" i="2"/>
  <c r="AH70" i="2"/>
  <c r="AG70" i="2"/>
  <c r="AE70" i="2"/>
  <c r="AD70" i="2"/>
  <c r="AB70" i="2"/>
  <c r="AA70" i="2"/>
  <c r="Y70" i="2"/>
  <c r="X70" i="2"/>
  <c r="V70" i="2"/>
  <c r="U70" i="2"/>
  <c r="S70" i="2"/>
  <c r="R70" i="2"/>
  <c r="P70" i="2"/>
  <c r="O70" i="2"/>
  <c r="M70" i="2"/>
  <c r="L70" i="2"/>
  <c r="J70" i="2"/>
  <c r="I70" i="2"/>
  <c r="G70" i="2"/>
  <c r="AK69" i="2"/>
  <c r="AJ69" i="2"/>
  <c r="AH69" i="2"/>
  <c r="AG69" i="2"/>
  <c r="AE69" i="2"/>
  <c r="AD69" i="2"/>
  <c r="AB69" i="2"/>
  <c r="AA69" i="2"/>
  <c r="Y69" i="2"/>
  <c r="X69" i="2"/>
  <c r="V69" i="2"/>
  <c r="U69" i="2"/>
  <c r="S69" i="2"/>
  <c r="R69" i="2"/>
  <c r="P69" i="2"/>
  <c r="O69" i="2"/>
  <c r="M69" i="2"/>
  <c r="L69" i="2"/>
  <c r="J69" i="2"/>
  <c r="I69" i="2"/>
  <c r="G69" i="2"/>
  <c r="AK68" i="2"/>
  <c r="AJ68" i="2"/>
  <c r="AH68" i="2"/>
  <c r="AG68" i="2"/>
  <c r="AE68" i="2"/>
  <c r="AD68" i="2"/>
  <c r="AB68" i="2"/>
  <c r="AA68" i="2"/>
  <c r="Y68" i="2"/>
  <c r="X68" i="2"/>
  <c r="V68" i="2"/>
  <c r="U68" i="2"/>
  <c r="S68" i="2"/>
  <c r="R68" i="2"/>
  <c r="P68" i="2"/>
  <c r="O68" i="2"/>
  <c r="M68" i="2"/>
  <c r="L68" i="2"/>
  <c r="J68" i="2"/>
  <c r="I68" i="2"/>
  <c r="G68" i="2"/>
  <c r="AK67" i="2"/>
  <c r="AJ67" i="2"/>
  <c r="AH67" i="2"/>
  <c r="AG67" i="2"/>
  <c r="AE67" i="2"/>
  <c r="AD67" i="2"/>
  <c r="AB67" i="2"/>
  <c r="AA67" i="2"/>
  <c r="Y67" i="2"/>
  <c r="X67" i="2"/>
  <c r="V67" i="2"/>
  <c r="U67" i="2"/>
  <c r="S67" i="2"/>
  <c r="R67" i="2"/>
  <c r="P67" i="2"/>
  <c r="O67" i="2"/>
  <c r="M67" i="2"/>
  <c r="L67" i="2"/>
  <c r="J67" i="2"/>
  <c r="I67" i="2"/>
  <c r="G67" i="2"/>
  <c r="AK66" i="2"/>
  <c r="AJ66" i="2"/>
  <c r="AH66" i="2"/>
  <c r="AG66" i="2"/>
  <c r="AE66" i="2"/>
  <c r="AD66" i="2"/>
  <c r="AB66" i="2"/>
  <c r="AA66" i="2"/>
  <c r="Y66" i="2"/>
  <c r="X66" i="2"/>
  <c r="V66" i="2"/>
  <c r="U66" i="2"/>
  <c r="S66" i="2"/>
  <c r="R66" i="2"/>
  <c r="P66" i="2"/>
  <c r="O66" i="2"/>
  <c r="M66" i="2"/>
  <c r="L66" i="2"/>
  <c r="J66" i="2"/>
  <c r="I66" i="2"/>
  <c r="G66" i="2"/>
  <c r="AK65" i="2"/>
  <c r="AJ65" i="2"/>
  <c r="AH65" i="2"/>
  <c r="AG65" i="2"/>
  <c r="AE65" i="2"/>
  <c r="AD65" i="2"/>
  <c r="AB65" i="2"/>
  <c r="AA65" i="2"/>
  <c r="Y65" i="2"/>
  <c r="X65" i="2"/>
  <c r="V65" i="2"/>
  <c r="U65" i="2"/>
  <c r="S65" i="2"/>
  <c r="R65" i="2"/>
  <c r="P65" i="2"/>
  <c r="O65" i="2"/>
  <c r="M65" i="2"/>
  <c r="L65" i="2"/>
  <c r="J65" i="2"/>
  <c r="I65" i="2"/>
  <c r="G65" i="2"/>
  <c r="AK64" i="2"/>
  <c r="AJ64" i="2"/>
  <c r="AH64" i="2"/>
  <c r="AG64" i="2"/>
  <c r="AE64" i="2"/>
  <c r="AD64" i="2"/>
  <c r="AB64" i="2"/>
  <c r="AA64" i="2"/>
  <c r="Y64" i="2"/>
  <c r="X64" i="2"/>
  <c r="V64" i="2"/>
  <c r="U64" i="2"/>
  <c r="S64" i="2"/>
  <c r="R64" i="2"/>
  <c r="P64" i="2"/>
  <c r="O64" i="2"/>
  <c r="M64" i="2"/>
  <c r="L64" i="2"/>
  <c r="J64" i="2"/>
  <c r="I64" i="2"/>
  <c r="G64" i="2"/>
  <c r="AK63" i="2"/>
  <c r="AJ63" i="2"/>
  <c r="AH63" i="2"/>
  <c r="AG63" i="2"/>
  <c r="AE63" i="2"/>
  <c r="AD63" i="2"/>
  <c r="AB63" i="2"/>
  <c r="AC63" i="2" s="1"/>
  <c r="AA63" i="2"/>
  <c r="Y63" i="2"/>
  <c r="X63" i="2"/>
  <c r="V63" i="2"/>
  <c r="U63" i="2"/>
  <c r="S63" i="2"/>
  <c r="R63" i="2"/>
  <c r="P63" i="2"/>
  <c r="O63" i="2"/>
  <c r="M63" i="2"/>
  <c r="L63" i="2"/>
  <c r="J63" i="2"/>
  <c r="I63" i="2"/>
  <c r="G63" i="2"/>
  <c r="C63" i="2"/>
  <c r="F70" i="2"/>
  <c r="H70" i="2" s="1"/>
  <c r="F69" i="2"/>
  <c r="F68" i="2"/>
  <c r="H68" i="2" s="1"/>
  <c r="F67" i="2"/>
  <c r="H67" i="2" s="1"/>
  <c r="F66" i="2"/>
  <c r="H66" i="2" s="1"/>
  <c r="F65" i="2"/>
  <c r="F64" i="2"/>
  <c r="D70" i="2"/>
  <c r="AN70" i="2" s="1"/>
  <c r="D69" i="2"/>
  <c r="AN69" i="2" s="1"/>
  <c r="D68" i="2"/>
  <c r="AN68" i="2" s="1"/>
  <c r="D67" i="2"/>
  <c r="AN67" i="2" s="1"/>
  <c r="D66" i="2"/>
  <c r="AN66" i="2" s="1"/>
  <c r="D65" i="2"/>
  <c r="D64" i="2"/>
  <c r="C70" i="2"/>
  <c r="C69" i="2"/>
  <c r="C68" i="2"/>
  <c r="C67" i="2"/>
  <c r="C66" i="2"/>
  <c r="C65" i="2"/>
  <c r="C64" i="2"/>
  <c r="F63" i="2"/>
  <c r="D63" i="2"/>
  <c r="J5" i="2"/>
  <c r="AL30" i="3"/>
  <c r="AI30" i="3"/>
  <c r="AF30" i="3"/>
  <c r="AC30" i="3"/>
  <c r="Z30" i="3"/>
  <c r="W30" i="3"/>
  <c r="T30" i="3"/>
  <c r="Q30" i="3"/>
  <c r="N30" i="3"/>
  <c r="K30" i="3"/>
  <c r="H30" i="3"/>
  <c r="E30" i="3"/>
  <c r="AL29" i="3"/>
  <c r="AI29" i="3"/>
  <c r="AF29" i="3"/>
  <c r="AC29" i="3"/>
  <c r="Z29" i="3"/>
  <c r="W29" i="3"/>
  <c r="T29" i="3"/>
  <c r="Q29" i="3"/>
  <c r="N29" i="3"/>
  <c r="K29" i="3"/>
  <c r="H29" i="3"/>
  <c r="E29" i="3"/>
  <c r="AL28" i="3"/>
  <c r="AI28" i="3"/>
  <c r="AF28" i="3"/>
  <c r="AC28" i="3"/>
  <c r="Z28" i="3"/>
  <c r="W28" i="3"/>
  <c r="T28" i="3"/>
  <c r="Q28" i="3"/>
  <c r="N28" i="3"/>
  <c r="K28" i="3"/>
  <c r="H28" i="3"/>
  <c r="E28" i="3"/>
  <c r="C24" i="2"/>
  <c r="C23" i="2"/>
  <c r="M5" i="2"/>
  <c r="AB14" i="3"/>
  <c r="AB13" i="3"/>
  <c r="AB12" i="3"/>
  <c r="AB11" i="3"/>
  <c r="AA14" i="3"/>
  <c r="AA13" i="3"/>
  <c r="AA12" i="3"/>
  <c r="AA11" i="3"/>
  <c r="Z14" i="3"/>
  <c r="Y14" i="3"/>
  <c r="X14" i="3"/>
  <c r="W14" i="3"/>
  <c r="V14" i="3"/>
  <c r="U14" i="3"/>
  <c r="T14" i="3"/>
  <c r="S14" i="3"/>
  <c r="R14" i="3"/>
  <c r="Q14" i="3"/>
  <c r="Z13" i="3"/>
  <c r="Y13" i="3"/>
  <c r="X13" i="3"/>
  <c r="W13" i="3"/>
  <c r="V13" i="3"/>
  <c r="U13" i="3"/>
  <c r="T13" i="3"/>
  <c r="S13" i="3"/>
  <c r="R13" i="3"/>
  <c r="Q13" i="3"/>
  <c r="Z12" i="3"/>
  <c r="Y12" i="3"/>
  <c r="X12" i="3"/>
  <c r="W12" i="3"/>
  <c r="V12" i="3"/>
  <c r="U12" i="3"/>
  <c r="T12" i="3"/>
  <c r="S12" i="3"/>
  <c r="R12" i="3"/>
  <c r="Q12" i="3"/>
  <c r="Z11" i="3"/>
  <c r="Y11" i="3"/>
  <c r="X11" i="3"/>
  <c r="W11" i="3"/>
  <c r="V11" i="3"/>
  <c r="U11" i="3"/>
  <c r="T11" i="3"/>
  <c r="S11" i="3"/>
  <c r="R11" i="3"/>
  <c r="Q11" i="3"/>
  <c r="O14" i="3"/>
  <c r="N14" i="3"/>
  <c r="M14" i="3"/>
  <c r="L14" i="3"/>
  <c r="K14" i="3"/>
  <c r="J14" i="3"/>
  <c r="I14" i="3"/>
  <c r="O13" i="3"/>
  <c r="N13" i="3"/>
  <c r="M13" i="3"/>
  <c r="L13" i="3"/>
  <c r="K13" i="3"/>
  <c r="J13" i="3"/>
  <c r="I13" i="3"/>
  <c r="H13" i="3"/>
  <c r="G13" i="3"/>
  <c r="F13" i="3"/>
  <c r="E13" i="3"/>
  <c r="D13" i="3"/>
  <c r="O12" i="3"/>
  <c r="N12" i="3"/>
  <c r="M12" i="3"/>
  <c r="L12" i="3"/>
  <c r="K12" i="3"/>
  <c r="J12" i="3"/>
  <c r="I12" i="3"/>
  <c r="H12" i="3"/>
  <c r="G12" i="3"/>
  <c r="F12" i="3"/>
  <c r="E12" i="3"/>
  <c r="D12" i="3"/>
  <c r="O11" i="3"/>
  <c r="N11" i="3"/>
  <c r="M11" i="3"/>
  <c r="L11" i="3"/>
  <c r="K11" i="3"/>
  <c r="J11" i="3"/>
  <c r="I11" i="3"/>
  <c r="H11" i="3"/>
  <c r="G11" i="3"/>
  <c r="E11" i="3"/>
  <c r="D11" i="3"/>
  <c r="H14" i="3"/>
  <c r="G14" i="3"/>
  <c r="F14" i="3"/>
  <c r="F11" i="3"/>
  <c r="E14" i="3"/>
  <c r="D14" i="3"/>
  <c r="AK79" i="2"/>
  <c r="AJ79" i="2"/>
  <c r="AH79" i="2"/>
  <c r="AG79" i="2"/>
  <c r="AE79" i="2"/>
  <c r="AD79" i="2"/>
  <c r="AB79" i="2"/>
  <c r="AA79" i="2"/>
  <c r="Y79" i="2"/>
  <c r="X79" i="2"/>
  <c r="V79" i="2"/>
  <c r="U79" i="2"/>
  <c r="S79" i="2"/>
  <c r="R79" i="2"/>
  <c r="P79" i="2"/>
  <c r="O79" i="2"/>
  <c r="M79" i="2"/>
  <c r="L79" i="2"/>
  <c r="J79" i="2"/>
  <c r="I79" i="2"/>
  <c r="G79" i="2"/>
  <c r="F79" i="2"/>
  <c r="D79" i="2"/>
  <c r="C79" i="2"/>
  <c r="AK78" i="2"/>
  <c r="AJ78" i="2"/>
  <c r="AH78" i="2"/>
  <c r="AG78" i="2"/>
  <c r="AE78" i="2"/>
  <c r="AD78" i="2"/>
  <c r="AB78" i="2"/>
  <c r="AA78" i="2"/>
  <c r="Y78" i="2"/>
  <c r="X78" i="2"/>
  <c r="V78" i="2"/>
  <c r="U78" i="2"/>
  <c r="S78" i="2"/>
  <c r="R78" i="2"/>
  <c r="P78" i="2"/>
  <c r="O78" i="2"/>
  <c r="M78" i="2"/>
  <c r="L78" i="2"/>
  <c r="J78" i="2"/>
  <c r="I78" i="2"/>
  <c r="G78" i="2"/>
  <c r="F78" i="2"/>
  <c r="D78" i="2"/>
  <c r="C78" i="2"/>
  <c r="AK77" i="2"/>
  <c r="AJ77" i="2"/>
  <c r="AH77" i="2"/>
  <c r="AG77" i="2"/>
  <c r="AE77" i="2"/>
  <c r="AD77" i="2"/>
  <c r="AB77" i="2"/>
  <c r="AA77" i="2"/>
  <c r="Y77" i="2"/>
  <c r="X77" i="2"/>
  <c r="V77" i="2"/>
  <c r="U77" i="2"/>
  <c r="S77" i="2"/>
  <c r="R77" i="2"/>
  <c r="P77" i="2"/>
  <c r="O77" i="2"/>
  <c r="M77" i="2"/>
  <c r="L77" i="2"/>
  <c r="J77" i="2"/>
  <c r="I77" i="2"/>
  <c r="G77" i="2"/>
  <c r="F77" i="2"/>
  <c r="D77" i="2"/>
  <c r="C77" i="2"/>
  <c r="AK76" i="2"/>
  <c r="AJ76" i="2"/>
  <c r="AH76" i="2"/>
  <c r="AG76" i="2"/>
  <c r="AE76" i="2"/>
  <c r="AD76" i="2"/>
  <c r="AB76" i="2"/>
  <c r="AA76" i="2"/>
  <c r="Y76" i="2"/>
  <c r="X76" i="2"/>
  <c r="V76" i="2"/>
  <c r="U76" i="2"/>
  <c r="S76" i="2"/>
  <c r="R76" i="2"/>
  <c r="P76" i="2"/>
  <c r="O76" i="2"/>
  <c r="M76" i="2"/>
  <c r="L76" i="2"/>
  <c r="J76" i="2"/>
  <c r="I76" i="2"/>
  <c r="G76" i="2"/>
  <c r="F76" i="2"/>
  <c r="D76" i="2"/>
  <c r="C76" i="2"/>
  <c r="AK57" i="2"/>
  <c r="AJ57" i="2"/>
  <c r="AH57" i="2"/>
  <c r="AG57" i="2"/>
  <c r="AE57" i="2"/>
  <c r="AD57" i="2"/>
  <c r="AB57" i="2"/>
  <c r="AA57" i="2"/>
  <c r="Y57" i="2"/>
  <c r="X57" i="2"/>
  <c r="V57" i="2"/>
  <c r="U57" i="2"/>
  <c r="S57" i="2"/>
  <c r="R57" i="2"/>
  <c r="P57" i="2"/>
  <c r="O57" i="2"/>
  <c r="M57" i="2"/>
  <c r="L57" i="2"/>
  <c r="J57" i="2"/>
  <c r="I57" i="2"/>
  <c r="G57" i="2"/>
  <c r="F57" i="2"/>
  <c r="D57" i="2"/>
  <c r="C57" i="2"/>
  <c r="AK56" i="2"/>
  <c r="AJ56" i="2"/>
  <c r="AH56" i="2"/>
  <c r="AG56" i="2"/>
  <c r="AE56" i="2"/>
  <c r="AD56" i="2"/>
  <c r="AB56" i="2"/>
  <c r="AA56" i="2"/>
  <c r="Y56" i="2"/>
  <c r="X56" i="2"/>
  <c r="V56" i="2"/>
  <c r="U56" i="2"/>
  <c r="S56" i="2"/>
  <c r="R56" i="2"/>
  <c r="P56" i="2"/>
  <c r="O56" i="2"/>
  <c r="M56" i="2"/>
  <c r="L56" i="2"/>
  <c r="J56" i="2"/>
  <c r="I56" i="2"/>
  <c r="G56" i="2"/>
  <c r="F56" i="2"/>
  <c r="D56" i="2"/>
  <c r="C56" i="2"/>
  <c r="AK55" i="2"/>
  <c r="AJ55" i="2"/>
  <c r="AH55" i="2"/>
  <c r="AG55" i="2"/>
  <c r="AE55" i="2"/>
  <c r="AD55" i="2"/>
  <c r="AB55" i="2"/>
  <c r="AA55" i="2"/>
  <c r="Y55" i="2"/>
  <c r="X55" i="2"/>
  <c r="V55" i="2"/>
  <c r="U55" i="2"/>
  <c r="S55" i="2"/>
  <c r="R55" i="2"/>
  <c r="P55" i="2"/>
  <c r="O55" i="2"/>
  <c r="M55" i="2"/>
  <c r="L55" i="2"/>
  <c r="J55" i="2"/>
  <c r="I55" i="2"/>
  <c r="G55" i="2"/>
  <c r="F55" i="2"/>
  <c r="D55" i="2"/>
  <c r="C55" i="2"/>
  <c r="AK54" i="2"/>
  <c r="AJ54" i="2"/>
  <c r="AH54" i="2"/>
  <c r="AG54" i="2"/>
  <c r="AE54" i="2"/>
  <c r="AD54" i="2"/>
  <c r="AB54" i="2"/>
  <c r="AA54" i="2"/>
  <c r="Y54" i="2"/>
  <c r="X54" i="2"/>
  <c r="V54" i="2"/>
  <c r="U54" i="2"/>
  <c r="S54" i="2"/>
  <c r="R54" i="2"/>
  <c r="P54" i="2"/>
  <c r="O54" i="2"/>
  <c r="M54" i="2"/>
  <c r="L54" i="2"/>
  <c r="J54" i="2"/>
  <c r="I54" i="2"/>
  <c r="G54" i="2"/>
  <c r="F54" i="2"/>
  <c r="D54" i="2"/>
  <c r="C54" i="2"/>
  <c r="AK53" i="2"/>
  <c r="AJ53" i="2"/>
  <c r="AH53" i="2"/>
  <c r="AG53" i="2"/>
  <c r="AE53" i="2"/>
  <c r="AD53" i="2"/>
  <c r="AB53" i="2"/>
  <c r="AA53" i="2"/>
  <c r="Y53" i="2"/>
  <c r="X53" i="2"/>
  <c r="V53" i="2"/>
  <c r="U53" i="2"/>
  <c r="S53" i="2"/>
  <c r="R53" i="2"/>
  <c r="P53" i="2"/>
  <c r="O53" i="2"/>
  <c r="M53" i="2"/>
  <c r="L53" i="2"/>
  <c r="J53" i="2"/>
  <c r="I53" i="2"/>
  <c r="G53" i="2"/>
  <c r="F53" i="2"/>
  <c r="D53" i="2"/>
  <c r="C53" i="2"/>
  <c r="AK52" i="2"/>
  <c r="AJ52" i="2"/>
  <c r="AH52" i="2"/>
  <c r="AG52" i="2"/>
  <c r="AE52" i="2"/>
  <c r="AD52" i="2"/>
  <c r="AB52" i="2"/>
  <c r="AA52" i="2"/>
  <c r="Y52" i="2"/>
  <c r="X52" i="2"/>
  <c r="V52" i="2"/>
  <c r="U52" i="2"/>
  <c r="S52" i="2"/>
  <c r="R52" i="2"/>
  <c r="P52" i="2"/>
  <c r="O52" i="2"/>
  <c r="M52" i="2"/>
  <c r="L52" i="2"/>
  <c r="J52" i="2"/>
  <c r="I52" i="2"/>
  <c r="G52" i="2"/>
  <c r="F52" i="2"/>
  <c r="D52" i="2"/>
  <c r="C52" i="2"/>
  <c r="AK51" i="2"/>
  <c r="AJ51" i="2"/>
  <c r="AH51" i="2"/>
  <c r="AG51" i="2"/>
  <c r="AE51" i="2"/>
  <c r="AD51" i="2"/>
  <c r="AB51" i="2"/>
  <c r="AA51" i="2"/>
  <c r="Y51" i="2"/>
  <c r="X51" i="2"/>
  <c r="V51" i="2"/>
  <c r="U51" i="2"/>
  <c r="S51" i="2"/>
  <c r="R51" i="2"/>
  <c r="P51" i="2"/>
  <c r="O51" i="2"/>
  <c r="M51" i="2"/>
  <c r="L51" i="2"/>
  <c r="J51" i="2"/>
  <c r="I51" i="2"/>
  <c r="G51" i="2"/>
  <c r="F51" i="2"/>
  <c r="D51" i="2"/>
  <c r="C51" i="2"/>
  <c r="AK50" i="2"/>
  <c r="AJ50" i="2"/>
  <c r="AH50" i="2"/>
  <c r="AG50" i="2"/>
  <c r="AE50" i="2"/>
  <c r="AD50" i="2"/>
  <c r="AB50" i="2"/>
  <c r="AA50" i="2"/>
  <c r="Y50" i="2"/>
  <c r="X50" i="2"/>
  <c r="V50" i="2"/>
  <c r="U50" i="2"/>
  <c r="S50" i="2"/>
  <c r="R50" i="2"/>
  <c r="P50" i="2"/>
  <c r="O50" i="2"/>
  <c r="M50" i="2"/>
  <c r="L50" i="2"/>
  <c r="J50" i="2"/>
  <c r="I50" i="2"/>
  <c r="G50" i="2"/>
  <c r="F50" i="2"/>
  <c r="D50" i="2"/>
  <c r="C50" i="2"/>
  <c r="AK49" i="2"/>
  <c r="AJ49" i="2"/>
  <c r="AH49" i="2"/>
  <c r="AG49" i="2"/>
  <c r="AE49" i="2"/>
  <c r="AD49" i="2"/>
  <c r="AB49" i="2"/>
  <c r="AA49" i="2"/>
  <c r="Y49" i="2"/>
  <c r="X49" i="2"/>
  <c r="V49" i="2"/>
  <c r="U49" i="2"/>
  <c r="S49" i="2"/>
  <c r="R49" i="2"/>
  <c r="P49" i="2"/>
  <c r="O49" i="2"/>
  <c r="M49" i="2"/>
  <c r="L49" i="2"/>
  <c r="J49" i="2"/>
  <c r="I49" i="2"/>
  <c r="G49" i="2"/>
  <c r="F49" i="2"/>
  <c r="D49" i="2"/>
  <c r="C49" i="2"/>
  <c r="C48" i="2"/>
  <c r="D48" i="2"/>
  <c r="F48" i="2"/>
  <c r="G48" i="2"/>
  <c r="I48" i="2"/>
  <c r="J48" i="2"/>
  <c r="L48" i="2"/>
  <c r="M48" i="2"/>
  <c r="O48" i="2"/>
  <c r="P48" i="2"/>
  <c r="R48" i="2"/>
  <c r="S48" i="2"/>
  <c r="U48" i="2"/>
  <c r="V48" i="2"/>
  <c r="X48" i="2"/>
  <c r="Y48" i="2"/>
  <c r="AA48" i="2"/>
  <c r="AB48" i="2"/>
  <c r="AD48" i="2"/>
  <c r="AE48" i="2"/>
  <c r="AG48" i="2"/>
  <c r="AH48" i="2"/>
  <c r="AJ48" i="2"/>
  <c r="AK48" i="2"/>
  <c r="AK42" i="2"/>
  <c r="AJ42" i="2"/>
  <c r="AH42" i="2"/>
  <c r="AG42" i="2"/>
  <c r="AE42" i="2"/>
  <c r="AD42" i="2"/>
  <c r="AB42" i="2"/>
  <c r="AA42" i="2"/>
  <c r="Y42" i="2"/>
  <c r="X42" i="2"/>
  <c r="V42" i="2"/>
  <c r="U42" i="2"/>
  <c r="S42" i="2"/>
  <c r="R42" i="2"/>
  <c r="P42" i="2"/>
  <c r="O42" i="2"/>
  <c r="M42" i="2"/>
  <c r="L42" i="2"/>
  <c r="J42" i="2"/>
  <c r="I42" i="2"/>
  <c r="G42" i="2"/>
  <c r="F42" i="2"/>
  <c r="D42" i="2"/>
  <c r="C42" i="2"/>
  <c r="AK41" i="2"/>
  <c r="AJ41" i="2"/>
  <c r="AH41" i="2"/>
  <c r="AG41" i="2"/>
  <c r="AE41" i="2"/>
  <c r="AD41" i="2"/>
  <c r="AB41" i="2"/>
  <c r="AA41" i="2"/>
  <c r="Y41" i="2"/>
  <c r="X41" i="2"/>
  <c r="V41" i="2"/>
  <c r="U41" i="2"/>
  <c r="S41" i="2"/>
  <c r="R41" i="2"/>
  <c r="P41" i="2"/>
  <c r="O41" i="2"/>
  <c r="M41" i="2"/>
  <c r="L41" i="2"/>
  <c r="J41" i="2"/>
  <c r="I41" i="2"/>
  <c r="G41" i="2"/>
  <c r="F41" i="2"/>
  <c r="D41" i="2"/>
  <c r="C41" i="2"/>
  <c r="AL41" i="2"/>
  <c r="AI41" i="2"/>
  <c r="AC41" i="2"/>
  <c r="Z41" i="2"/>
  <c r="W41" i="2"/>
  <c r="T41" i="2"/>
  <c r="Q41" i="2"/>
  <c r="N41" i="2"/>
  <c r="K41" i="2"/>
  <c r="H41" i="2"/>
  <c r="E41" i="2"/>
  <c r="AK39" i="2"/>
  <c r="AJ39" i="2"/>
  <c r="AH39" i="2"/>
  <c r="AG39" i="2"/>
  <c r="AE39" i="2"/>
  <c r="AD39" i="2"/>
  <c r="AB39" i="2"/>
  <c r="AA39" i="2"/>
  <c r="Y39" i="2"/>
  <c r="X39" i="2"/>
  <c r="V39" i="2"/>
  <c r="U39" i="2"/>
  <c r="S39" i="2"/>
  <c r="R39" i="2"/>
  <c r="P39" i="2"/>
  <c r="O39" i="2"/>
  <c r="M39" i="2"/>
  <c r="L39" i="2"/>
  <c r="J39" i="2"/>
  <c r="I39" i="2"/>
  <c r="G39" i="2"/>
  <c r="F39" i="2"/>
  <c r="D39" i="2"/>
  <c r="C39" i="2"/>
  <c r="AK40" i="2"/>
  <c r="AJ40" i="2"/>
  <c r="AH40" i="2"/>
  <c r="AG40" i="2"/>
  <c r="AE40" i="2"/>
  <c r="AD40" i="2"/>
  <c r="AB40" i="2"/>
  <c r="AA40" i="2"/>
  <c r="Y40" i="2"/>
  <c r="X40" i="2"/>
  <c r="V40" i="2"/>
  <c r="U40" i="2"/>
  <c r="S40" i="2"/>
  <c r="R40" i="2"/>
  <c r="P40" i="2"/>
  <c r="O40" i="2"/>
  <c r="M40" i="2"/>
  <c r="L40" i="2"/>
  <c r="J40" i="2"/>
  <c r="I40" i="2"/>
  <c r="G40" i="2"/>
  <c r="F40" i="2"/>
  <c r="D40" i="2"/>
  <c r="C40" i="2"/>
  <c r="AK38" i="2"/>
  <c r="AJ38" i="2"/>
  <c r="AH38" i="2"/>
  <c r="AG38" i="2"/>
  <c r="AE38" i="2"/>
  <c r="AD38" i="2"/>
  <c r="AB38" i="2"/>
  <c r="AA38" i="2"/>
  <c r="Y38" i="2"/>
  <c r="X38" i="2"/>
  <c r="V38" i="2"/>
  <c r="U38" i="2"/>
  <c r="S38" i="2"/>
  <c r="R38" i="2"/>
  <c r="P38" i="2"/>
  <c r="O38" i="2"/>
  <c r="M38" i="2"/>
  <c r="L38" i="2"/>
  <c r="J38" i="2"/>
  <c r="I38" i="2"/>
  <c r="G38" i="2"/>
  <c r="F38" i="2"/>
  <c r="D38" i="2"/>
  <c r="C38" i="2"/>
  <c r="AK37" i="2"/>
  <c r="AJ37" i="2"/>
  <c r="AH37" i="2"/>
  <c r="AG37" i="2"/>
  <c r="AE37" i="2"/>
  <c r="AD37" i="2"/>
  <c r="AB37" i="2"/>
  <c r="AA37" i="2"/>
  <c r="Y37" i="2"/>
  <c r="X37" i="2"/>
  <c r="V37" i="2"/>
  <c r="U37" i="2"/>
  <c r="S37" i="2"/>
  <c r="R37" i="2"/>
  <c r="P37" i="2"/>
  <c r="O37" i="2"/>
  <c r="M37" i="2"/>
  <c r="L37" i="2"/>
  <c r="J37" i="2"/>
  <c r="I37" i="2"/>
  <c r="G37" i="2"/>
  <c r="F37" i="2"/>
  <c r="D37" i="2"/>
  <c r="C37" i="2"/>
  <c r="AK36" i="2"/>
  <c r="AJ36" i="2"/>
  <c r="AH36" i="2"/>
  <c r="AG36" i="2"/>
  <c r="AE36" i="2"/>
  <c r="AD36" i="2"/>
  <c r="AB36" i="2"/>
  <c r="AA36" i="2"/>
  <c r="Y36" i="2"/>
  <c r="X36" i="2"/>
  <c r="V36" i="2"/>
  <c r="U36" i="2"/>
  <c r="S36" i="2"/>
  <c r="R36" i="2"/>
  <c r="P36" i="2"/>
  <c r="O36" i="2"/>
  <c r="M36" i="2"/>
  <c r="L36" i="2"/>
  <c r="J36" i="2"/>
  <c r="I36" i="2"/>
  <c r="G36" i="2"/>
  <c r="F36" i="2"/>
  <c r="D36" i="2"/>
  <c r="C36" i="2"/>
  <c r="AK35" i="2"/>
  <c r="AJ35" i="2"/>
  <c r="AH35" i="2"/>
  <c r="AG35" i="2"/>
  <c r="AE35" i="2"/>
  <c r="AD35" i="2"/>
  <c r="AB35" i="2"/>
  <c r="AA35" i="2"/>
  <c r="Y35" i="2"/>
  <c r="X35" i="2"/>
  <c r="V35" i="2"/>
  <c r="U35" i="2"/>
  <c r="S35" i="2"/>
  <c r="R35" i="2"/>
  <c r="P35" i="2"/>
  <c r="O35" i="2"/>
  <c r="M35" i="2"/>
  <c r="L35" i="2"/>
  <c r="J35" i="2"/>
  <c r="I35" i="2"/>
  <c r="G35" i="2"/>
  <c r="F35" i="2"/>
  <c r="D35" i="2"/>
  <c r="C35" i="2"/>
  <c r="AK34" i="2"/>
  <c r="AJ34" i="2"/>
  <c r="AH34" i="2"/>
  <c r="AG34" i="2"/>
  <c r="AE34" i="2"/>
  <c r="AD34" i="2"/>
  <c r="AB34" i="2"/>
  <c r="AA34" i="2"/>
  <c r="Y34" i="2"/>
  <c r="X34" i="2"/>
  <c r="V34" i="2"/>
  <c r="U34" i="2"/>
  <c r="S34" i="2"/>
  <c r="R34" i="2"/>
  <c r="P34" i="2"/>
  <c r="O34" i="2"/>
  <c r="M34" i="2"/>
  <c r="L34" i="2"/>
  <c r="J34" i="2"/>
  <c r="I34" i="2"/>
  <c r="G34" i="2"/>
  <c r="F34" i="2"/>
  <c r="D34" i="2"/>
  <c r="C34" i="2"/>
  <c r="AK33" i="2"/>
  <c r="AJ33" i="2"/>
  <c r="AH33" i="2"/>
  <c r="AG33" i="2"/>
  <c r="AE33" i="2"/>
  <c r="AD33" i="2"/>
  <c r="AB33" i="2"/>
  <c r="AA33" i="2"/>
  <c r="Y33" i="2"/>
  <c r="X33" i="2"/>
  <c r="V33" i="2"/>
  <c r="U33" i="2"/>
  <c r="S33" i="2"/>
  <c r="R33" i="2"/>
  <c r="P33" i="2"/>
  <c r="O33" i="2"/>
  <c r="M33" i="2"/>
  <c r="L33" i="2"/>
  <c r="J33" i="2"/>
  <c r="I33" i="2"/>
  <c r="G33" i="2"/>
  <c r="F33" i="2"/>
  <c r="D33" i="2"/>
  <c r="C33" i="2"/>
  <c r="AK32" i="2"/>
  <c r="AJ32" i="2"/>
  <c r="AH32" i="2"/>
  <c r="AG32" i="2"/>
  <c r="AE32" i="2"/>
  <c r="AD32" i="2"/>
  <c r="AB32" i="2"/>
  <c r="AA32" i="2"/>
  <c r="Y32" i="2"/>
  <c r="X32" i="2"/>
  <c r="V32" i="2"/>
  <c r="U32" i="2"/>
  <c r="S32" i="2"/>
  <c r="R32" i="2"/>
  <c r="P32" i="2"/>
  <c r="O32" i="2"/>
  <c r="M32" i="2"/>
  <c r="L32" i="2"/>
  <c r="J32" i="2"/>
  <c r="I32" i="2"/>
  <c r="G32" i="2"/>
  <c r="F32" i="2"/>
  <c r="D32" i="2"/>
  <c r="C32" i="2"/>
  <c r="AK26" i="2"/>
  <c r="AJ26" i="2"/>
  <c r="AH26" i="2"/>
  <c r="AG26" i="2"/>
  <c r="AE26" i="2"/>
  <c r="AD26" i="2"/>
  <c r="AB26" i="2"/>
  <c r="AA26" i="2"/>
  <c r="Y26" i="2"/>
  <c r="X26" i="2"/>
  <c r="V26" i="2"/>
  <c r="U26" i="2"/>
  <c r="S26" i="2"/>
  <c r="R26" i="2"/>
  <c r="P26" i="2"/>
  <c r="O26" i="2"/>
  <c r="M26" i="2"/>
  <c r="L26" i="2"/>
  <c r="J26" i="2"/>
  <c r="I26" i="2"/>
  <c r="G26" i="2"/>
  <c r="F26" i="2"/>
  <c r="D26" i="2"/>
  <c r="C26" i="2"/>
  <c r="AK25" i="2"/>
  <c r="AJ25" i="2"/>
  <c r="AH25" i="2"/>
  <c r="AG25" i="2"/>
  <c r="AE25" i="2"/>
  <c r="AD25" i="2"/>
  <c r="AB25" i="2"/>
  <c r="AA25" i="2"/>
  <c r="Y25" i="2"/>
  <c r="X25" i="2"/>
  <c r="V25" i="2"/>
  <c r="U25" i="2"/>
  <c r="S25" i="2"/>
  <c r="R25" i="2"/>
  <c r="P25" i="2"/>
  <c r="O25" i="2"/>
  <c r="M25" i="2"/>
  <c r="L25" i="2"/>
  <c r="J25" i="2"/>
  <c r="I25" i="2"/>
  <c r="G25" i="2"/>
  <c r="F25" i="2"/>
  <c r="D25" i="2"/>
  <c r="C25" i="2"/>
  <c r="AK24" i="2"/>
  <c r="AJ24" i="2"/>
  <c r="AH24" i="2"/>
  <c r="AG24" i="2"/>
  <c r="AE24" i="2"/>
  <c r="AD24" i="2"/>
  <c r="AB24" i="2"/>
  <c r="AA24" i="2"/>
  <c r="Y24" i="2"/>
  <c r="X24" i="2"/>
  <c r="V24" i="2"/>
  <c r="U24" i="2"/>
  <c r="S24" i="2"/>
  <c r="R24" i="2"/>
  <c r="P24" i="2"/>
  <c r="O24" i="2"/>
  <c r="M24" i="2"/>
  <c r="L24" i="2"/>
  <c r="J24" i="2"/>
  <c r="I24" i="2"/>
  <c r="G24" i="2"/>
  <c r="F24" i="2"/>
  <c r="D24" i="2"/>
  <c r="AJ23" i="2"/>
  <c r="AH23" i="2"/>
  <c r="AG23" i="2"/>
  <c r="AE23" i="2"/>
  <c r="AD23" i="2"/>
  <c r="AB23" i="2"/>
  <c r="AA23" i="2"/>
  <c r="Y23" i="2"/>
  <c r="X23" i="2"/>
  <c r="V23" i="2"/>
  <c r="U23" i="2"/>
  <c r="S23" i="2"/>
  <c r="R23" i="2"/>
  <c r="P23" i="2"/>
  <c r="O23" i="2"/>
  <c r="M23" i="2"/>
  <c r="L23" i="2"/>
  <c r="J23" i="2"/>
  <c r="I23" i="2"/>
  <c r="G23" i="2"/>
  <c r="F23" i="2"/>
  <c r="D23" i="2"/>
  <c r="BX16" i="2"/>
  <c r="BV16" i="2"/>
  <c r="BU16" i="2"/>
  <c r="BQ16" i="2"/>
  <c r="BO16" i="2"/>
  <c r="BN16" i="2"/>
  <c r="BJ16" i="2"/>
  <c r="BH16" i="2"/>
  <c r="BG16" i="2"/>
  <c r="BC16" i="2"/>
  <c r="BA16" i="2"/>
  <c r="AZ16" i="2"/>
  <c r="AV16" i="2"/>
  <c r="AT16" i="2"/>
  <c r="AS16" i="2"/>
  <c r="AO16" i="2"/>
  <c r="AM16" i="2"/>
  <c r="AL16" i="2"/>
  <c r="AH16" i="2"/>
  <c r="AF16" i="2"/>
  <c r="AE16" i="2"/>
  <c r="AA16" i="2"/>
  <c r="Y16" i="2"/>
  <c r="X16" i="2"/>
  <c r="T16" i="2"/>
  <c r="R16" i="2"/>
  <c r="Q16" i="2"/>
  <c r="M16" i="2"/>
  <c r="K16" i="2"/>
  <c r="J16" i="2"/>
  <c r="BX15" i="2"/>
  <c r="BV15" i="2"/>
  <c r="BU15" i="2"/>
  <c r="BQ15" i="2"/>
  <c r="BO15" i="2"/>
  <c r="BN15" i="2"/>
  <c r="BJ15" i="2"/>
  <c r="BH15" i="2"/>
  <c r="BG15" i="2"/>
  <c r="BC15" i="2"/>
  <c r="BA15" i="2"/>
  <c r="AZ15" i="2"/>
  <c r="AV15" i="2"/>
  <c r="AT15" i="2"/>
  <c r="AS15" i="2"/>
  <c r="AO15" i="2"/>
  <c r="AM15" i="2"/>
  <c r="AL15" i="2"/>
  <c r="AH15" i="2"/>
  <c r="AF15" i="2"/>
  <c r="AE15" i="2"/>
  <c r="AA15" i="2"/>
  <c r="Y15" i="2"/>
  <c r="X15" i="2"/>
  <c r="T15" i="2"/>
  <c r="R15" i="2"/>
  <c r="Q15" i="2"/>
  <c r="M15" i="2"/>
  <c r="K15" i="2"/>
  <c r="J15" i="2"/>
  <c r="BX14" i="2"/>
  <c r="BV14" i="2"/>
  <c r="BU14" i="2"/>
  <c r="BQ14" i="2"/>
  <c r="BO14" i="2"/>
  <c r="BN14" i="2"/>
  <c r="BJ14" i="2"/>
  <c r="BH14" i="2"/>
  <c r="BG14" i="2"/>
  <c r="BC14" i="2"/>
  <c r="BA14" i="2"/>
  <c r="AZ14" i="2"/>
  <c r="AV14" i="2"/>
  <c r="AT14" i="2"/>
  <c r="AS14" i="2"/>
  <c r="AO14" i="2"/>
  <c r="AM14" i="2"/>
  <c r="AL14" i="2"/>
  <c r="AH14" i="2"/>
  <c r="AF14" i="2"/>
  <c r="AE14" i="2"/>
  <c r="AA14" i="2"/>
  <c r="Y14" i="2"/>
  <c r="X14" i="2"/>
  <c r="T14" i="2"/>
  <c r="R14" i="2"/>
  <c r="Q14" i="2"/>
  <c r="M14" i="2"/>
  <c r="K14" i="2"/>
  <c r="J14" i="2"/>
  <c r="BX13" i="2"/>
  <c r="BV13" i="2"/>
  <c r="BU13" i="2"/>
  <c r="BQ13" i="2"/>
  <c r="BO13" i="2"/>
  <c r="BN13" i="2"/>
  <c r="BJ13" i="2"/>
  <c r="BH13" i="2"/>
  <c r="BG13" i="2"/>
  <c r="BC13" i="2"/>
  <c r="BA13" i="2"/>
  <c r="AZ13" i="2"/>
  <c r="AV13" i="2"/>
  <c r="AT13" i="2"/>
  <c r="AS13" i="2"/>
  <c r="AO13" i="2"/>
  <c r="AM13" i="2"/>
  <c r="AL13" i="2"/>
  <c r="AH13" i="2"/>
  <c r="AF13" i="2"/>
  <c r="AE13" i="2"/>
  <c r="AA13" i="2"/>
  <c r="Y13" i="2"/>
  <c r="X13" i="2"/>
  <c r="T13" i="2"/>
  <c r="R13" i="2"/>
  <c r="Q13" i="2"/>
  <c r="M13" i="2"/>
  <c r="K13" i="2"/>
  <c r="J13" i="2"/>
  <c r="BX12" i="2"/>
  <c r="BV12" i="2"/>
  <c r="BU12" i="2"/>
  <c r="BQ12" i="2"/>
  <c r="BO12" i="2"/>
  <c r="BN12" i="2"/>
  <c r="BJ12" i="2"/>
  <c r="BH12" i="2"/>
  <c r="BG12" i="2"/>
  <c r="BC12" i="2"/>
  <c r="BA12" i="2"/>
  <c r="AZ12" i="2"/>
  <c r="AV12" i="2"/>
  <c r="AT12" i="2"/>
  <c r="AS12" i="2"/>
  <c r="AO12" i="2"/>
  <c r="AM12" i="2"/>
  <c r="AL12" i="2"/>
  <c r="AH12" i="2"/>
  <c r="AF12" i="2"/>
  <c r="AE12" i="2"/>
  <c r="AA12" i="2"/>
  <c r="Y12" i="2"/>
  <c r="X12" i="2"/>
  <c r="T12" i="2"/>
  <c r="R12" i="2"/>
  <c r="Q12" i="2"/>
  <c r="M12" i="2"/>
  <c r="K12" i="2"/>
  <c r="J12" i="2"/>
  <c r="BX11" i="2"/>
  <c r="BV11" i="2"/>
  <c r="BU11" i="2"/>
  <c r="BQ11" i="2"/>
  <c r="BO11" i="2"/>
  <c r="BN11" i="2"/>
  <c r="BJ11" i="2"/>
  <c r="BH11" i="2"/>
  <c r="BG11" i="2"/>
  <c r="BC11" i="2"/>
  <c r="BA11" i="2"/>
  <c r="AZ11" i="2"/>
  <c r="AV11" i="2"/>
  <c r="AT11" i="2"/>
  <c r="AS11" i="2"/>
  <c r="AO11" i="2"/>
  <c r="AM11" i="2"/>
  <c r="AL11" i="2"/>
  <c r="AH11" i="2"/>
  <c r="AF11" i="2"/>
  <c r="AE11" i="2"/>
  <c r="AA11" i="2"/>
  <c r="Y11" i="2"/>
  <c r="X11" i="2"/>
  <c r="T11" i="2"/>
  <c r="R11" i="2"/>
  <c r="Q11" i="2"/>
  <c r="M11" i="2"/>
  <c r="K11" i="2"/>
  <c r="J11" i="2"/>
  <c r="BX10" i="2"/>
  <c r="BV10" i="2"/>
  <c r="BU10" i="2"/>
  <c r="BQ10" i="2"/>
  <c r="BO10" i="2"/>
  <c r="BN10" i="2"/>
  <c r="BJ10" i="2"/>
  <c r="BH10" i="2"/>
  <c r="BG10" i="2"/>
  <c r="BC10" i="2"/>
  <c r="BA10" i="2"/>
  <c r="AZ10" i="2"/>
  <c r="AV10" i="2"/>
  <c r="AT10" i="2"/>
  <c r="AS10" i="2"/>
  <c r="AO10" i="2"/>
  <c r="AM10" i="2"/>
  <c r="AL10" i="2"/>
  <c r="AN10" i="2" s="1"/>
  <c r="AH10" i="2"/>
  <c r="AF10" i="2"/>
  <c r="AE10" i="2"/>
  <c r="AA10" i="2"/>
  <c r="Y10" i="2"/>
  <c r="X10" i="2"/>
  <c r="T10" i="2"/>
  <c r="R10" i="2"/>
  <c r="Q10" i="2"/>
  <c r="M10" i="2"/>
  <c r="K10" i="2"/>
  <c r="J10" i="2"/>
  <c r="BX9" i="2"/>
  <c r="BV9" i="2"/>
  <c r="BU9" i="2"/>
  <c r="BQ9" i="2"/>
  <c r="BO9" i="2"/>
  <c r="BN9" i="2"/>
  <c r="BJ9" i="2"/>
  <c r="BH9" i="2"/>
  <c r="BG9" i="2"/>
  <c r="BC9" i="2"/>
  <c r="BA9" i="2"/>
  <c r="AZ9" i="2"/>
  <c r="AV9" i="2"/>
  <c r="AT9" i="2"/>
  <c r="AS9" i="2"/>
  <c r="AO9" i="2"/>
  <c r="AM9" i="2"/>
  <c r="AL9" i="2"/>
  <c r="AH9" i="2"/>
  <c r="AF9" i="2"/>
  <c r="AE9" i="2"/>
  <c r="AA9" i="2"/>
  <c r="Y9" i="2"/>
  <c r="X9" i="2"/>
  <c r="T9" i="2"/>
  <c r="R9" i="2"/>
  <c r="Q9" i="2"/>
  <c r="M9" i="2"/>
  <c r="K9" i="2"/>
  <c r="J9" i="2"/>
  <c r="BX8" i="2"/>
  <c r="BV8" i="2"/>
  <c r="BU8" i="2"/>
  <c r="BQ8" i="2"/>
  <c r="BO8" i="2"/>
  <c r="BN8" i="2"/>
  <c r="BJ8" i="2"/>
  <c r="BH8" i="2"/>
  <c r="BG8" i="2"/>
  <c r="BC8" i="2"/>
  <c r="BA8" i="2"/>
  <c r="AZ8" i="2"/>
  <c r="AV8" i="2"/>
  <c r="AT8" i="2"/>
  <c r="AS8" i="2"/>
  <c r="AO8" i="2"/>
  <c r="AM8" i="2"/>
  <c r="AL8" i="2"/>
  <c r="AH8" i="2"/>
  <c r="AF8" i="2"/>
  <c r="AE8" i="2"/>
  <c r="AA8" i="2"/>
  <c r="Y8" i="2"/>
  <c r="X8" i="2"/>
  <c r="T8" i="2"/>
  <c r="R8" i="2"/>
  <c r="Q8" i="2"/>
  <c r="M8" i="2"/>
  <c r="K8" i="2"/>
  <c r="J8" i="2"/>
  <c r="BX7" i="2"/>
  <c r="BV7" i="2"/>
  <c r="BU7" i="2"/>
  <c r="BQ7" i="2"/>
  <c r="BO7" i="2"/>
  <c r="BN7" i="2"/>
  <c r="BJ7" i="2"/>
  <c r="BH7" i="2"/>
  <c r="BG7" i="2"/>
  <c r="BC7" i="2"/>
  <c r="BA7" i="2"/>
  <c r="AZ7" i="2"/>
  <c r="AV7" i="2"/>
  <c r="AT7" i="2"/>
  <c r="AS7" i="2"/>
  <c r="AO7" i="2"/>
  <c r="AM7" i="2"/>
  <c r="AL7" i="2"/>
  <c r="AH7" i="2"/>
  <c r="AF7" i="2"/>
  <c r="AE7" i="2"/>
  <c r="AA7" i="2"/>
  <c r="Y7" i="2"/>
  <c r="X7" i="2"/>
  <c r="T7" i="2"/>
  <c r="R7" i="2"/>
  <c r="Q7" i="2"/>
  <c r="M7" i="2"/>
  <c r="K7" i="2"/>
  <c r="J7" i="2"/>
  <c r="BX6" i="2"/>
  <c r="BV6" i="2"/>
  <c r="BU6" i="2"/>
  <c r="BQ6" i="2"/>
  <c r="BO6" i="2"/>
  <c r="BN6" i="2"/>
  <c r="BJ6" i="2"/>
  <c r="BH6" i="2"/>
  <c r="BG6" i="2"/>
  <c r="BC6" i="2"/>
  <c r="BA6" i="2"/>
  <c r="AZ6" i="2"/>
  <c r="AV6" i="2"/>
  <c r="AT6" i="2"/>
  <c r="AS6" i="2"/>
  <c r="AO6" i="2"/>
  <c r="AM6" i="2"/>
  <c r="AL6" i="2"/>
  <c r="AH6" i="2"/>
  <c r="AF6" i="2"/>
  <c r="AE6" i="2"/>
  <c r="AA6" i="2"/>
  <c r="Y6" i="2"/>
  <c r="X6" i="2"/>
  <c r="T6" i="2"/>
  <c r="R6" i="2"/>
  <c r="Q6" i="2"/>
  <c r="M6" i="2"/>
  <c r="K6" i="2"/>
  <c r="J6" i="2"/>
  <c r="BX5" i="2"/>
  <c r="BV5" i="2"/>
  <c r="BU5" i="2"/>
  <c r="BQ5" i="2"/>
  <c r="BO5" i="2"/>
  <c r="BN5" i="2"/>
  <c r="BJ5" i="2"/>
  <c r="BH5" i="2"/>
  <c r="BG5" i="2"/>
  <c r="BC5" i="2"/>
  <c r="BA5" i="2"/>
  <c r="AZ5" i="2"/>
  <c r="AV5" i="2"/>
  <c r="AT5" i="2"/>
  <c r="AS5" i="2"/>
  <c r="AO5" i="2"/>
  <c r="AM5" i="2"/>
  <c r="AL5" i="2"/>
  <c r="AH5" i="2"/>
  <c r="AF5" i="2"/>
  <c r="AE5" i="2"/>
  <c r="AA5" i="2"/>
  <c r="Y5" i="2"/>
  <c r="X5" i="2"/>
  <c r="T5" i="2"/>
  <c r="R5" i="2"/>
  <c r="Q5" i="2"/>
  <c r="BW15" i="2"/>
  <c r="BW13" i="2"/>
  <c r="BW16" i="2"/>
  <c r="BI15" i="2"/>
  <c r="AU16" i="2"/>
  <c r="AU14" i="2"/>
  <c r="C16" i="2"/>
  <c r="C15" i="2"/>
  <c r="C14" i="2"/>
  <c r="E42" i="3"/>
  <c r="E44" i="3" s="1"/>
  <c r="D42" i="3"/>
  <c r="D43" i="3" s="1"/>
  <c r="O22" i="4"/>
  <c r="N22" i="4"/>
  <c r="M22" i="4"/>
  <c r="L22" i="4"/>
  <c r="K22" i="4"/>
  <c r="J22" i="4"/>
  <c r="I22" i="4"/>
  <c r="H22" i="4"/>
  <c r="G22" i="4"/>
  <c r="F22" i="4"/>
  <c r="E22" i="4"/>
  <c r="D22" i="4"/>
  <c r="D14" i="4"/>
  <c r="O14" i="4"/>
  <c r="O16" i="4" s="1"/>
  <c r="N14" i="4"/>
  <c r="M14" i="4"/>
  <c r="M16" i="4" s="1"/>
  <c r="L14" i="4"/>
  <c r="K14" i="4"/>
  <c r="J14" i="4"/>
  <c r="I14" i="4"/>
  <c r="I16" i="4" s="1"/>
  <c r="H14" i="4"/>
  <c r="G14" i="4"/>
  <c r="G16" i="4" s="1"/>
  <c r="F14" i="4"/>
  <c r="E14" i="4"/>
  <c r="E16" i="4" s="1"/>
  <c r="O23" i="4"/>
  <c r="O24" i="4" s="1"/>
  <c r="N23" i="4"/>
  <c r="N24" i="4" s="1"/>
  <c r="M23" i="4"/>
  <c r="M24" i="4" s="1"/>
  <c r="L23" i="4"/>
  <c r="L24" i="4" s="1"/>
  <c r="K23" i="4"/>
  <c r="K24" i="4" s="1"/>
  <c r="J23" i="4"/>
  <c r="J24" i="4" s="1"/>
  <c r="I23" i="4"/>
  <c r="H23" i="4"/>
  <c r="H24" i="4" s="1"/>
  <c r="G23" i="4"/>
  <c r="G24" i="4" s="1"/>
  <c r="F23" i="4"/>
  <c r="F24" i="4" s="1"/>
  <c r="E23" i="4"/>
  <c r="D23" i="4"/>
  <c r="D24" i="4" s="1"/>
  <c r="O20" i="4"/>
  <c r="N20" i="4"/>
  <c r="M20" i="4"/>
  <c r="L20" i="4"/>
  <c r="K20" i="4"/>
  <c r="J20" i="4"/>
  <c r="I20" i="4"/>
  <c r="H20" i="4"/>
  <c r="G20" i="4"/>
  <c r="F20" i="4"/>
  <c r="E20" i="4"/>
  <c r="D20" i="4"/>
  <c r="O12" i="4"/>
  <c r="N12" i="4"/>
  <c r="M12" i="4"/>
  <c r="L12" i="4"/>
  <c r="K12" i="4"/>
  <c r="J12" i="4"/>
  <c r="I12" i="4"/>
  <c r="H12" i="4"/>
  <c r="G12" i="4"/>
  <c r="F12" i="4"/>
  <c r="E12" i="4"/>
  <c r="D12" i="4"/>
  <c r="O15" i="4"/>
  <c r="N15" i="4"/>
  <c r="N16" i="4" s="1"/>
  <c r="M15" i="4"/>
  <c r="L15" i="4"/>
  <c r="K15" i="4"/>
  <c r="J15" i="4"/>
  <c r="I15" i="4"/>
  <c r="H15" i="4"/>
  <c r="G15" i="4"/>
  <c r="F15" i="4"/>
  <c r="E15" i="4"/>
  <c r="D15" i="4"/>
  <c r="P19" i="4"/>
  <c r="P18" i="4"/>
  <c r="P11" i="4"/>
  <c r="P10" i="4"/>
  <c r="P12" i="4" s="1"/>
  <c r="O8" i="4"/>
  <c r="N8" i="4"/>
  <c r="M8" i="4"/>
  <c r="L8" i="4"/>
  <c r="K8" i="4"/>
  <c r="J8" i="4"/>
  <c r="I8" i="4"/>
  <c r="H8" i="4"/>
  <c r="G8" i="4"/>
  <c r="F8" i="4"/>
  <c r="E8" i="4"/>
  <c r="D8" i="4"/>
  <c r="P7" i="4"/>
  <c r="P6" i="4"/>
  <c r="P8" i="4" s="1"/>
  <c r="D27" i="3"/>
  <c r="D32" i="3" s="1"/>
  <c r="AK27" i="3"/>
  <c r="AK32" i="3" s="1"/>
  <c r="AH27" i="3"/>
  <c r="AH33" i="3" s="1"/>
  <c r="AE27" i="3"/>
  <c r="AE33" i="3" s="1"/>
  <c r="AB27" i="3"/>
  <c r="AB32" i="3" s="1"/>
  <c r="Y27" i="3"/>
  <c r="Y31" i="3" s="1"/>
  <c r="AM36" i="3"/>
  <c r="AM35" i="3"/>
  <c r="AM34" i="3"/>
  <c r="AM26" i="3"/>
  <c r="V27" i="3"/>
  <c r="V33" i="3" s="1"/>
  <c r="S27" i="3"/>
  <c r="S33" i="3" s="1"/>
  <c r="P27" i="3"/>
  <c r="P31" i="3" s="1"/>
  <c r="M27" i="3"/>
  <c r="M31" i="3" s="1"/>
  <c r="J27" i="3"/>
  <c r="J32" i="3" s="1"/>
  <c r="G27" i="3"/>
  <c r="G32" i="3" s="1"/>
  <c r="AJ36" i="3"/>
  <c r="AJ35" i="3"/>
  <c r="AJ34" i="3"/>
  <c r="AJ26" i="3"/>
  <c r="AG36" i="3"/>
  <c r="AG35" i="3"/>
  <c r="AG34" i="3"/>
  <c r="AG26" i="3"/>
  <c r="AD36" i="3"/>
  <c r="AD35" i="3"/>
  <c r="AD34" i="3"/>
  <c r="AD26" i="3"/>
  <c r="AA36" i="3"/>
  <c r="AA35" i="3"/>
  <c r="AA34" i="3"/>
  <c r="AA26" i="3"/>
  <c r="X36" i="3"/>
  <c r="X35" i="3"/>
  <c r="X34" i="3"/>
  <c r="X26" i="3"/>
  <c r="U36" i="3"/>
  <c r="U35" i="3"/>
  <c r="U34" i="3"/>
  <c r="U26" i="3"/>
  <c r="R36" i="3"/>
  <c r="R35" i="3"/>
  <c r="R34" i="3"/>
  <c r="R26" i="3"/>
  <c r="O36" i="3"/>
  <c r="O35" i="3"/>
  <c r="O34" i="3"/>
  <c r="O26" i="3"/>
  <c r="L36" i="3"/>
  <c r="L35" i="3"/>
  <c r="L34" i="3"/>
  <c r="L26" i="3"/>
  <c r="I36" i="3"/>
  <c r="I35" i="3"/>
  <c r="I34" i="3"/>
  <c r="I26" i="3"/>
  <c r="G42" i="3"/>
  <c r="G43" i="3" s="1"/>
  <c r="O42" i="3"/>
  <c r="O44" i="3" s="1"/>
  <c r="N42" i="3"/>
  <c r="N44" i="3" s="1"/>
  <c r="M42" i="3"/>
  <c r="M43" i="3" s="1"/>
  <c r="L42" i="3"/>
  <c r="L43" i="3" s="1"/>
  <c r="K42" i="3"/>
  <c r="K43" i="3" s="1"/>
  <c r="J42" i="3"/>
  <c r="J44" i="3" s="1"/>
  <c r="I42" i="3"/>
  <c r="I43" i="3" s="1"/>
  <c r="H42" i="3"/>
  <c r="H44" i="3" s="1"/>
  <c r="F42" i="3"/>
  <c r="F44" i="3" s="1"/>
  <c r="O48" i="3"/>
  <c r="N48" i="3"/>
  <c r="M48" i="3"/>
  <c r="L48" i="3"/>
  <c r="K48" i="3"/>
  <c r="J48" i="3"/>
  <c r="I48" i="3"/>
  <c r="H48" i="3"/>
  <c r="G48" i="3"/>
  <c r="F48" i="3"/>
  <c r="E48" i="3"/>
  <c r="D48" i="3"/>
  <c r="P47" i="3"/>
  <c r="P46" i="3"/>
  <c r="P45" i="3"/>
  <c r="P41" i="3"/>
  <c r="F26" i="3"/>
  <c r="P17" i="3"/>
  <c r="P18" i="3"/>
  <c r="F34" i="3"/>
  <c r="F36" i="3"/>
  <c r="F35" i="3"/>
  <c r="O20" i="3"/>
  <c r="N20" i="3"/>
  <c r="M20" i="3"/>
  <c r="L20" i="3"/>
  <c r="K20" i="3"/>
  <c r="J20" i="3"/>
  <c r="I20" i="3"/>
  <c r="H20" i="3"/>
  <c r="G20" i="3"/>
  <c r="F20" i="3"/>
  <c r="E20" i="3"/>
  <c r="D20" i="3"/>
  <c r="AU12" i="2"/>
  <c r="BI16" i="2"/>
  <c r="C13" i="2"/>
  <c r="BI13" i="2"/>
  <c r="Z13" i="2"/>
  <c r="BP14" i="2"/>
  <c r="BB15" i="2"/>
  <c r="BB13" i="2"/>
  <c r="BP11" i="2"/>
  <c r="BW11" i="2"/>
  <c r="BP13" i="2"/>
  <c r="BB14" i="2"/>
  <c r="Z16" i="2"/>
  <c r="BP12" i="2"/>
  <c r="BP15" i="2"/>
  <c r="BB16" i="2"/>
  <c r="BW10" i="2"/>
  <c r="BD15" i="2"/>
  <c r="BW14" i="2"/>
  <c r="BR10" i="2"/>
  <c r="BD11" i="2"/>
  <c r="BR16" i="2"/>
  <c r="AI77" i="2"/>
  <c r="W77" i="2"/>
  <c r="BD14" i="2"/>
  <c r="BD16" i="2"/>
  <c r="AC49" i="2"/>
  <c r="I24" i="4"/>
  <c r="BW12" i="2"/>
  <c r="AM41" i="2"/>
  <c r="BD13" i="2"/>
  <c r="BI14" i="2"/>
  <c r="AU15" i="2"/>
  <c r="AN41" i="2"/>
  <c r="BY16" i="2"/>
  <c r="AC77" i="2"/>
  <c r="AW16" i="2"/>
  <c r="BK16" i="2"/>
  <c r="AF41" i="2"/>
  <c r="AF42" i="2"/>
  <c r="BB10" i="2"/>
  <c r="AG16" i="2"/>
  <c r="S10" i="2"/>
  <c r="AP10" i="2"/>
  <c r="BY10" i="2"/>
  <c r="AW14" i="2"/>
  <c r="AW15" i="2"/>
  <c r="AF33" i="2"/>
  <c r="AF34" i="2"/>
  <c r="AF35" i="2"/>
  <c r="AF36" i="2"/>
  <c r="AF37" i="2"/>
  <c r="AF38" i="2"/>
  <c r="AF40" i="2"/>
  <c r="AF39" i="2"/>
  <c r="AI26" i="2"/>
  <c r="AL26" i="2"/>
  <c r="H79" i="2"/>
  <c r="AM79" i="2"/>
  <c r="Z79" i="2"/>
  <c r="K78" i="2"/>
  <c r="E78" i="2"/>
  <c r="AC78" i="2"/>
  <c r="K79" i="2"/>
  <c r="N79" i="2"/>
  <c r="AF79" i="2"/>
  <c r="AI78" i="2"/>
  <c r="Q79" i="2"/>
  <c r="AI79" i="2"/>
  <c r="Q77" i="2"/>
  <c r="W78" i="2"/>
  <c r="E79" i="2"/>
  <c r="W79" i="2"/>
  <c r="E77" i="2"/>
  <c r="AC79" i="2"/>
  <c r="Q78" i="2"/>
  <c r="AL78" i="2"/>
  <c r="T79" i="2"/>
  <c r="AL79" i="2"/>
  <c r="AC76" i="2"/>
  <c r="AN79" i="2"/>
  <c r="AC69" i="2"/>
  <c r="K70" i="2"/>
  <c r="N66" i="2"/>
  <c r="AF66" i="2"/>
  <c r="N67" i="2"/>
  <c r="AF67" i="2"/>
  <c r="K67" i="2"/>
  <c r="AC67" i="2"/>
  <c r="K69" i="2"/>
  <c r="AC70" i="2"/>
  <c r="Q68" i="2"/>
  <c r="AI68" i="2"/>
  <c r="Q69" i="2"/>
  <c r="AI70" i="2"/>
  <c r="T63" i="2"/>
  <c r="N64" i="2"/>
  <c r="W64" i="2"/>
  <c r="W66" i="2"/>
  <c r="W67" i="2"/>
  <c r="W68" i="2"/>
  <c r="W70" i="2"/>
  <c r="K64" i="2"/>
  <c r="AC65" i="2"/>
  <c r="K66" i="2"/>
  <c r="AC66" i="2"/>
  <c r="K68" i="2"/>
  <c r="AC68" i="2"/>
  <c r="AF63" i="2"/>
  <c r="AF64" i="2"/>
  <c r="N65" i="2"/>
  <c r="N68" i="2"/>
  <c r="AF68" i="2"/>
  <c r="N69" i="2"/>
  <c r="AI66" i="2"/>
  <c r="Q70" i="2"/>
  <c r="W69" i="2"/>
  <c r="Z64" i="2"/>
  <c r="Z65" i="2"/>
  <c r="Z66" i="2"/>
  <c r="Z67" i="2"/>
  <c r="Z68" i="2"/>
  <c r="H69" i="2"/>
  <c r="Z69" i="2"/>
  <c r="Z70" i="2"/>
  <c r="AF69" i="2"/>
  <c r="N70" i="2"/>
  <c r="AF70" i="2"/>
  <c r="AI64" i="2"/>
  <c r="Q65" i="2"/>
  <c r="AI65" i="2"/>
  <c r="Q66" i="2"/>
  <c r="Q67" i="2"/>
  <c r="AI67" i="2"/>
  <c r="AI69" i="2"/>
  <c r="T64" i="2"/>
  <c r="AL64" i="2"/>
  <c r="T65" i="2"/>
  <c r="AL65" i="2"/>
  <c r="T66" i="2"/>
  <c r="AL66" i="2"/>
  <c r="T67" i="2"/>
  <c r="AL67" i="2"/>
  <c r="T68" i="2"/>
  <c r="AL68" i="2"/>
  <c r="T69" i="2"/>
  <c r="AL69" i="2"/>
  <c r="T70" i="2"/>
  <c r="AL70" i="2"/>
  <c r="N57" i="2"/>
  <c r="N49" i="2"/>
  <c r="N50" i="2"/>
  <c r="W55" i="2"/>
  <c r="E56" i="2"/>
  <c r="N51" i="2"/>
  <c r="N52" i="2"/>
  <c r="N53" i="2"/>
  <c r="N54" i="2"/>
  <c r="N55" i="2"/>
  <c r="N56" i="2"/>
  <c r="W57" i="2"/>
  <c r="AM52" i="2"/>
  <c r="AM53" i="2"/>
  <c r="AM54" i="2"/>
  <c r="AM55" i="2"/>
  <c r="AM56" i="2"/>
  <c r="AM57" i="2"/>
  <c r="T52" i="2"/>
  <c r="AL52" i="2"/>
  <c r="T53" i="2"/>
  <c r="AL53" i="2"/>
  <c r="T54" i="2"/>
  <c r="AL55" i="2"/>
  <c r="T56" i="2"/>
  <c r="T57" i="2"/>
  <c r="F14" i="2"/>
  <c r="E50" i="2"/>
  <c r="E51" i="2"/>
  <c r="E52" i="2"/>
  <c r="W52" i="2"/>
  <c r="E53" i="2"/>
  <c r="T55" i="2"/>
  <c r="AL56" i="2"/>
  <c r="AL57" i="2"/>
  <c r="AF51" i="2"/>
  <c r="AF52" i="2"/>
  <c r="AF53" i="2"/>
  <c r="AF54" i="2"/>
  <c r="AF55" i="2"/>
  <c r="AF56" i="2"/>
  <c r="AF57" i="2"/>
  <c r="W53" i="2"/>
  <c r="E54" i="2"/>
  <c r="W54" i="2"/>
  <c r="E55" i="2"/>
  <c r="W56" i="2"/>
  <c r="E57" i="2"/>
  <c r="E48" i="2"/>
  <c r="K50" i="2"/>
  <c r="AC50" i="2"/>
  <c r="K51" i="2"/>
  <c r="AC51" i="2"/>
  <c r="K52" i="2"/>
  <c r="AC52" i="2"/>
  <c r="K53" i="2"/>
  <c r="AC54" i="2"/>
  <c r="K55" i="2"/>
  <c r="AC55" i="2"/>
  <c r="K56" i="2"/>
  <c r="AC56" i="2"/>
  <c r="K57" i="2"/>
  <c r="AC57" i="2"/>
  <c r="AL54" i="2"/>
  <c r="Z49" i="2"/>
  <c r="Z50" i="2"/>
  <c r="Z51" i="2"/>
  <c r="H52" i="2"/>
  <c r="Z52" i="2"/>
  <c r="H53" i="2"/>
  <c r="Z53" i="2"/>
  <c r="H54" i="2"/>
  <c r="Z54" i="2"/>
  <c r="H55" i="2"/>
  <c r="Z55" i="2"/>
  <c r="H56" i="2"/>
  <c r="Z56" i="2"/>
  <c r="H57" i="2"/>
  <c r="Z57" i="2"/>
  <c r="AC53" i="2"/>
  <c r="K54" i="2"/>
  <c r="Q49" i="2"/>
  <c r="AI50" i="2"/>
  <c r="Q51" i="2"/>
  <c r="AI51" i="2"/>
  <c r="Q52" i="2"/>
  <c r="AI52" i="2"/>
  <c r="Q53" i="2"/>
  <c r="AI53" i="2"/>
  <c r="Q54" i="2"/>
  <c r="AI54" i="2"/>
  <c r="Q55" i="2"/>
  <c r="AI55" i="2"/>
  <c r="Q56" i="2"/>
  <c r="AI56" i="2"/>
  <c r="Q57" i="2"/>
  <c r="AI57" i="2"/>
  <c r="AL49" i="2"/>
  <c r="AL50" i="2"/>
  <c r="AL51" i="2"/>
  <c r="N10" i="2"/>
  <c r="AN54" i="2"/>
  <c r="AN55" i="2"/>
  <c r="AN52" i="2"/>
  <c r="AN56" i="2"/>
  <c r="AN57" i="2"/>
  <c r="AN53" i="2"/>
  <c r="AM42" i="2"/>
  <c r="AM39" i="2"/>
  <c r="AM40" i="2"/>
  <c r="W40" i="2"/>
  <c r="N37" i="2"/>
  <c r="N40" i="2"/>
  <c r="W39" i="2"/>
  <c r="N38" i="2"/>
  <c r="N39" i="2"/>
  <c r="E38" i="2"/>
  <c r="W38" i="2"/>
  <c r="H37" i="2"/>
  <c r="AC37" i="2"/>
  <c r="K38" i="2"/>
  <c r="AC38" i="2"/>
  <c r="K39" i="2"/>
  <c r="AC39" i="2"/>
  <c r="K40" i="2"/>
  <c r="AC40" i="2"/>
  <c r="Q37" i="2"/>
  <c r="AI37" i="2"/>
  <c r="Q38" i="2"/>
  <c r="AI38" i="2"/>
  <c r="Q39" i="2"/>
  <c r="AI39" i="2"/>
  <c r="Q40" i="2"/>
  <c r="AI40" i="2"/>
  <c r="T37" i="2"/>
  <c r="AL37" i="2"/>
  <c r="T38" i="2"/>
  <c r="AL38" i="2"/>
  <c r="T39" i="2"/>
  <c r="AL39" i="2"/>
  <c r="T40" i="2"/>
  <c r="AL40" i="2"/>
  <c r="AM37" i="2"/>
  <c r="AM38" i="2"/>
  <c r="E37" i="2"/>
  <c r="W37" i="2"/>
  <c r="E39" i="2"/>
  <c r="E40" i="2"/>
  <c r="Z37" i="2"/>
  <c r="H38" i="2"/>
  <c r="Z38" i="2"/>
  <c r="H39" i="2"/>
  <c r="Z39" i="2"/>
  <c r="H40" i="2"/>
  <c r="Z40" i="2"/>
  <c r="K37" i="2"/>
  <c r="AL36" i="2"/>
  <c r="AI36" i="2"/>
  <c r="N42" i="2"/>
  <c r="T35" i="2"/>
  <c r="Q36" i="2"/>
  <c r="Q35" i="2"/>
  <c r="H42" i="2"/>
  <c r="Z36" i="2"/>
  <c r="H36" i="2"/>
  <c r="T36" i="2"/>
  <c r="AI42" i="2"/>
  <c r="Q42" i="2"/>
  <c r="Z42" i="2"/>
  <c r="W42" i="2"/>
  <c r="E42" i="2"/>
  <c r="E36" i="2"/>
  <c r="AC42" i="2"/>
  <c r="K42" i="2"/>
  <c r="AL42" i="2"/>
  <c r="T42" i="2"/>
  <c r="AC36" i="2"/>
  <c r="AC35" i="2"/>
  <c r="K35" i="2"/>
  <c r="H35" i="2"/>
  <c r="E35" i="2"/>
  <c r="AC34" i="2"/>
  <c r="Z34" i="2"/>
  <c r="H34" i="2"/>
  <c r="Q33" i="2"/>
  <c r="H33" i="2"/>
  <c r="Q34" i="2"/>
  <c r="T33" i="2"/>
  <c r="T34" i="2"/>
  <c r="AN39" i="2"/>
  <c r="AN36" i="2"/>
  <c r="AN40" i="2"/>
  <c r="AN37" i="2"/>
  <c r="AN42" i="2"/>
  <c r="AN38" i="2"/>
  <c r="BK11" i="2"/>
  <c r="BK15" i="2"/>
  <c r="BP16" i="2"/>
  <c r="T26" i="2"/>
  <c r="BK14" i="2"/>
  <c r="D16" i="2"/>
  <c r="BR13" i="2"/>
  <c r="BY14" i="2"/>
  <c r="Q26" i="2"/>
  <c r="BR14" i="2"/>
  <c r="BY15" i="2"/>
  <c r="E26" i="2"/>
  <c r="D14" i="2"/>
  <c r="D15" i="2"/>
  <c r="H26" i="2"/>
  <c r="Z26" i="2"/>
  <c r="AC26" i="2"/>
  <c r="N26" i="2"/>
  <c r="AF26" i="2"/>
  <c r="AN26" i="2"/>
  <c r="BK13" i="2"/>
  <c r="BR11" i="2"/>
  <c r="BR15" i="2"/>
  <c r="BR12" i="2"/>
  <c r="E25" i="2"/>
  <c r="E24" i="2"/>
  <c r="AC25" i="2"/>
  <c r="F16" i="2"/>
  <c r="F15" i="2"/>
  <c r="Z11" i="2"/>
  <c r="BI11" i="2"/>
  <c r="BI9" i="2"/>
  <c r="BB9" i="2"/>
  <c r="AG15" i="2"/>
  <c r="AG13" i="2"/>
  <c r="Z15" i="2"/>
  <c r="Z14" i="2"/>
  <c r="AI14" i="2"/>
  <c r="AB16" i="2"/>
  <c r="AB11" i="2"/>
  <c r="AB15" i="2"/>
  <c r="AI15" i="2"/>
  <c r="AB13" i="2"/>
  <c r="AG14" i="2"/>
  <c r="AI16" i="2"/>
  <c r="AB14" i="2"/>
  <c r="AI13" i="2"/>
  <c r="AP16" i="2"/>
  <c r="AP13" i="2"/>
  <c r="AN12" i="2"/>
  <c r="AN11" i="2"/>
  <c r="AN15" i="2"/>
  <c r="AN13" i="2"/>
  <c r="AN14" i="2"/>
  <c r="AP14" i="2"/>
  <c r="AP11" i="2"/>
  <c r="AP15" i="2"/>
  <c r="AN16" i="2"/>
  <c r="AP12" i="2"/>
  <c r="AG12" i="2"/>
  <c r="Z9" i="2"/>
  <c r="U16" i="2"/>
  <c r="U15" i="2"/>
  <c r="U14" i="2"/>
  <c r="U13" i="2"/>
  <c r="U12" i="2"/>
  <c r="S16" i="2"/>
  <c r="S15" i="2"/>
  <c r="S14" i="2"/>
  <c r="S11" i="2"/>
  <c r="E24" i="4"/>
  <c r="AC14" i="3"/>
  <c r="V10" i="3"/>
  <c r="AB10" i="3"/>
  <c r="Q10" i="3"/>
  <c r="Y10" i="3"/>
  <c r="Z10" i="3"/>
  <c r="R10" i="3"/>
  <c r="X10" i="3"/>
  <c r="U10" i="3"/>
  <c r="AA10" i="3"/>
  <c r="AC12" i="3"/>
  <c r="P19" i="3"/>
  <c r="P9" i="3"/>
  <c r="L5" i="2"/>
  <c r="N5" i="2"/>
  <c r="L12" i="2"/>
  <c r="N12" i="2"/>
  <c r="L13" i="2"/>
  <c r="N14" i="2"/>
  <c r="L15" i="2"/>
  <c r="N15" i="2"/>
  <c r="L16" i="2"/>
  <c r="N16" i="2"/>
  <c r="AF24" i="2" l="1"/>
  <c r="AW13" i="2"/>
  <c r="H25" i="2"/>
  <c r="AF25" i="2"/>
  <c r="AG10" i="2"/>
  <c r="BI12" i="2"/>
  <c r="AU13" i="2"/>
  <c r="Q27" i="3"/>
  <c r="Q33" i="3" s="1"/>
  <c r="Z27" i="3"/>
  <c r="Z31" i="3" s="1"/>
  <c r="N13" i="2"/>
  <c r="S13" i="2"/>
  <c r="AL76" i="2"/>
  <c r="AM78" i="2"/>
  <c r="N78" i="2"/>
  <c r="Z78" i="2"/>
  <c r="AF78" i="2"/>
  <c r="P48" i="3"/>
  <c r="AI12" i="2"/>
  <c r="BY11" i="2"/>
  <c r="U10" i="2"/>
  <c r="AW12" i="2"/>
  <c r="Z12" i="2"/>
  <c r="W48" i="2"/>
  <c r="K48" i="2"/>
  <c r="AN65" i="2"/>
  <c r="Q63" i="2"/>
  <c r="L11" i="2"/>
  <c r="AU11" i="2"/>
  <c r="BB12" i="2"/>
  <c r="BK9" i="2"/>
  <c r="L10" i="2"/>
  <c r="AW10" i="2"/>
  <c r="BP10" i="2"/>
  <c r="C10" i="2"/>
  <c r="BD8" i="2"/>
  <c r="N11" i="2"/>
  <c r="BB11" i="2"/>
  <c r="S12" i="2"/>
  <c r="C12" i="2"/>
  <c r="BD12" i="2"/>
  <c r="BY12" i="2"/>
  <c r="L14" i="2"/>
  <c r="AU10" i="2"/>
  <c r="AN9" i="2"/>
  <c r="AM77" i="2"/>
  <c r="K36" i="2"/>
  <c r="AL24" i="2"/>
  <c r="AC24" i="2"/>
  <c r="K34" i="2"/>
  <c r="AI35" i="2"/>
  <c r="AC33" i="2"/>
  <c r="Q48" i="2"/>
  <c r="T10" i="3"/>
  <c r="AI23" i="2"/>
  <c r="Q24" i="2"/>
  <c r="H24" i="2"/>
  <c r="Q25" i="2"/>
  <c r="T50" i="2"/>
  <c r="E49" i="2"/>
  <c r="Q50" i="2"/>
  <c r="H65" i="2"/>
  <c r="AF65" i="2"/>
  <c r="P20" i="3"/>
  <c r="F13" i="2"/>
  <c r="Z32" i="2"/>
  <c r="N35" i="2"/>
  <c r="AN77" i="2"/>
  <c r="AF77" i="2"/>
  <c r="AN78" i="2"/>
  <c r="AO78" i="2" s="1"/>
  <c r="T78" i="2"/>
  <c r="BK12" i="2"/>
  <c r="Z23" i="2"/>
  <c r="H78" i="2"/>
  <c r="AC11" i="3"/>
  <c r="T77" i="2"/>
  <c r="H27" i="3"/>
  <c r="H31" i="3" s="1"/>
  <c r="AF27" i="3"/>
  <c r="AF32" i="3" s="1"/>
  <c r="AC23" i="2"/>
  <c r="T24" i="2"/>
  <c r="T25" i="2"/>
  <c r="F11" i="2"/>
  <c r="N77" i="2"/>
  <c r="Z77" i="2"/>
  <c r="U11" i="2"/>
  <c r="F12" i="2"/>
  <c r="AI9" i="2"/>
  <c r="AL34" i="2"/>
  <c r="Z35" i="2"/>
  <c r="E33" i="2"/>
  <c r="AN34" i="2"/>
  <c r="AN35" i="2"/>
  <c r="P23" i="4"/>
  <c r="K16" i="4"/>
  <c r="AI11" i="2"/>
  <c r="J10" i="3"/>
  <c r="J15" i="3" s="1"/>
  <c r="M10" i="3"/>
  <c r="M15" i="3" s="1"/>
  <c r="W10" i="3"/>
  <c r="N27" i="3"/>
  <c r="N33" i="3" s="1"/>
  <c r="AL27" i="3"/>
  <c r="AL31" i="3" s="1"/>
  <c r="AG7" i="2"/>
  <c r="AP9" i="2"/>
  <c r="N24" i="2"/>
  <c r="Z24" i="2"/>
  <c r="Z25" i="2"/>
  <c r="AL25" i="2"/>
  <c r="AL32" i="2"/>
  <c r="Z33" i="2"/>
  <c r="AL33" i="2"/>
  <c r="H48" i="2"/>
  <c r="AI49" i="2"/>
  <c r="Z63" i="2"/>
  <c r="AF32" i="2"/>
  <c r="W25" i="2"/>
  <c r="AI25" i="2"/>
  <c r="N48" i="2"/>
  <c r="H63" i="2"/>
  <c r="N63" i="2"/>
  <c r="W50" i="2"/>
  <c r="AM24" i="2"/>
  <c r="AM25" i="2"/>
  <c r="AM26" i="2"/>
  <c r="AO26" i="2" s="1"/>
  <c r="K24" i="2"/>
  <c r="W24" i="2"/>
  <c r="AI24" i="2"/>
  <c r="K26" i="2"/>
  <c r="W26" i="2"/>
  <c r="W32" i="2"/>
  <c r="K33" i="2"/>
  <c r="W33" i="2"/>
  <c r="AI33" i="2"/>
  <c r="W34" i="2"/>
  <c r="AI34" i="2"/>
  <c r="W35" i="2"/>
  <c r="W36" i="2"/>
  <c r="AM49" i="2"/>
  <c r="AM50" i="2"/>
  <c r="K63" i="2"/>
  <c r="W63" i="2"/>
  <c r="AI63" i="2"/>
  <c r="N25" i="2"/>
  <c r="N34" i="2"/>
  <c r="AM35" i="2"/>
  <c r="AL35" i="2"/>
  <c r="N36" i="2"/>
  <c r="H49" i="2"/>
  <c r="T49" i="2"/>
  <c r="AF49" i="2"/>
  <c r="H50" i="2"/>
  <c r="AF50" i="2"/>
  <c r="AN51" i="2"/>
  <c r="T51" i="2"/>
  <c r="T76" i="2"/>
  <c r="AF76" i="2"/>
  <c r="H77" i="2"/>
  <c r="AL63" i="2"/>
  <c r="Q64" i="2"/>
  <c r="AC64" i="2"/>
  <c r="K65" i="2"/>
  <c r="W65" i="2"/>
  <c r="N33" i="2"/>
  <c r="AM51" i="2"/>
  <c r="W51" i="2"/>
  <c r="AM34" i="2"/>
  <c r="K49" i="2"/>
  <c r="W49" i="2"/>
  <c r="W76" i="2"/>
  <c r="AI76" i="2"/>
  <c r="K77" i="2"/>
  <c r="H64" i="2"/>
  <c r="BB7" i="2"/>
  <c r="Z76" i="2"/>
  <c r="AL77" i="2"/>
  <c r="AL23" i="2"/>
  <c r="C11" i="2"/>
  <c r="AN50" i="2"/>
  <c r="AN49" i="2"/>
  <c r="H51" i="2"/>
  <c r="AM33" i="2"/>
  <c r="AM36" i="2"/>
  <c r="AO36" i="2" s="1"/>
  <c r="E34" i="2"/>
  <c r="AN64" i="2"/>
  <c r="BY6" i="2"/>
  <c r="AN25" i="2"/>
  <c r="W27" i="3"/>
  <c r="W31" i="3" s="1"/>
  <c r="AN24" i="2"/>
  <c r="K25" i="2"/>
  <c r="E23" i="2"/>
  <c r="S10" i="3"/>
  <c r="E27" i="3"/>
  <c r="E31" i="3" s="1"/>
  <c r="AC27" i="3"/>
  <c r="AC31" i="3" s="1"/>
  <c r="L10" i="3"/>
  <c r="L16" i="3" s="1"/>
  <c r="K27" i="3"/>
  <c r="K32" i="3" s="1"/>
  <c r="AI27" i="3"/>
  <c r="AI33" i="3" s="1"/>
  <c r="AB9" i="2"/>
  <c r="T27" i="3"/>
  <c r="T32" i="3" s="1"/>
  <c r="BP6" i="2"/>
  <c r="AN8" i="2"/>
  <c r="AI7" i="2"/>
  <c r="AU8" i="2"/>
  <c r="N23" i="2"/>
  <c r="D16" i="4"/>
  <c r="H16" i="4"/>
  <c r="L16" i="4"/>
  <c r="AU5" i="2"/>
  <c r="M17" i="2"/>
  <c r="AU7" i="2"/>
  <c r="AG8" i="2"/>
  <c r="BI8" i="2"/>
  <c r="C9" i="2"/>
  <c r="S9" i="2"/>
  <c r="AU9" i="2"/>
  <c r="BW9" i="2"/>
  <c r="AI10" i="2"/>
  <c r="BI10" i="2"/>
  <c r="N32" i="2"/>
  <c r="T32" i="2"/>
  <c r="K10" i="3"/>
  <c r="K15" i="3" s="1"/>
  <c r="O10" i="3"/>
  <c r="O16" i="3" s="1"/>
  <c r="E63" i="2"/>
  <c r="E66" i="2"/>
  <c r="AM70" i="2"/>
  <c r="AO70" i="2" s="1"/>
  <c r="AE17" i="2"/>
  <c r="Q76" i="2"/>
  <c r="N8" i="2"/>
  <c r="BR8" i="2"/>
  <c r="C8" i="2"/>
  <c r="BI7" i="2"/>
  <c r="BY13" i="2"/>
  <c r="F16" i="4"/>
  <c r="J16" i="4"/>
  <c r="AC13" i="3"/>
  <c r="AP8" i="2"/>
  <c r="AB8" i="2"/>
  <c r="BR9" i="2"/>
  <c r="BD10" i="2"/>
  <c r="D11" i="2"/>
  <c r="D12" i="2"/>
  <c r="G12" i="2" s="1"/>
  <c r="D13" i="2"/>
  <c r="E13" i="2" s="1"/>
  <c r="AB12" i="2"/>
  <c r="N7" i="2"/>
  <c r="BP9" i="2"/>
  <c r="AB10" i="2"/>
  <c r="AG11" i="2"/>
  <c r="AW7" i="2"/>
  <c r="BR7" i="2"/>
  <c r="S8" i="2"/>
  <c r="BB8" i="2"/>
  <c r="BW8" i="2"/>
  <c r="F9" i="2"/>
  <c r="AW11" i="2"/>
  <c r="N9" i="2"/>
  <c r="D10" i="2"/>
  <c r="U9" i="2"/>
  <c r="Z10" i="2"/>
  <c r="BP7" i="2"/>
  <c r="BJ17" i="2"/>
  <c r="L8" i="2"/>
  <c r="AO37" i="2"/>
  <c r="G15" i="2"/>
  <c r="K32" i="2"/>
  <c r="AI32" i="2"/>
  <c r="T48" i="2"/>
  <c r="E32" i="2"/>
  <c r="Q32" i="2"/>
  <c r="AC32" i="2"/>
  <c r="AN33" i="2"/>
  <c r="Z48" i="2"/>
  <c r="AL48" i="2"/>
  <c r="E70" i="2"/>
  <c r="AM68" i="2"/>
  <c r="AO68" i="2" s="1"/>
  <c r="P22" i="4"/>
  <c r="AB7" i="2"/>
  <c r="F8" i="2"/>
  <c r="AW8" i="2"/>
  <c r="BP8" i="2"/>
  <c r="BY8" i="2"/>
  <c r="BD9" i="2"/>
  <c r="F10" i="2"/>
  <c r="H32" i="2"/>
  <c r="AI8" i="2"/>
  <c r="BK8" i="2"/>
  <c r="AW9" i="2"/>
  <c r="BY9" i="2"/>
  <c r="BK10" i="2"/>
  <c r="AM32" i="2"/>
  <c r="AM76" i="2"/>
  <c r="AN32" i="2"/>
  <c r="E68" i="2"/>
  <c r="U6" i="2"/>
  <c r="U8" i="2"/>
  <c r="BK6" i="2"/>
  <c r="BK5" i="2"/>
  <c r="D9" i="2"/>
  <c r="Z8" i="2"/>
  <c r="D8" i="2"/>
  <c r="BO17" i="2"/>
  <c r="AG6" i="2"/>
  <c r="S7" i="2"/>
  <c r="BW7" i="2"/>
  <c r="Q23" i="2"/>
  <c r="AN7" i="2"/>
  <c r="BD7" i="2"/>
  <c r="L9" i="2"/>
  <c r="BR6" i="2"/>
  <c r="L7" i="2"/>
  <c r="P20" i="4"/>
  <c r="P14" i="4"/>
  <c r="P15" i="4"/>
  <c r="P13" i="3"/>
  <c r="E67" i="2"/>
  <c r="BB5" i="2"/>
  <c r="AN6" i="2"/>
  <c r="AI48" i="2"/>
  <c r="F10" i="3"/>
  <c r="F16" i="3" s="1"/>
  <c r="BI6" i="2"/>
  <c r="AM65" i="2"/>
  <c r="AF48" i="2"/>
  <c r="G10" i="3"/>
  <c r="G16" i="3" s="1"/>
  <c r="N76" i="2"/>
  <c r="N10" i="3"/>
  <c r="N15" i="3" s="1"/>
  <c r="AM69" i="2"/>
  <c r="AO69" i="2" s="1"/>
  <c r="P12" i="3"/>
  <c r="E10" i="3"/>
  <c r="E16" i="3" s="1"/>
  <c r="Z7" i="2"/>
  <c r="BK7" i="2"/>
  <c r="S5" i="2"/>
  <c r="AL17" i="2"/>
  <c r="BD5" i="2"/>
  <c r="BW5" i="2"/>
  <c r="AP6" i="2"/>
  <c r="AO79" i="2"/>
  <c r="X17" i="2"/>
  <c r="J17" i="2"/>
  <c r="AB6" i="2"/>
  <c r="AU6" i="2"/>
  <c r="AM17" i="2"/>
  <c r="AH32" i="3"/>
  <c r="AO17" i="2"/>
  <c r="Y17" i="2"/>
  <c r="AS17" i="2"/>
  <c r="K17" i="2"/>
  <c r="AM48" i="2"/>
  <c r="C7" i="2"/>
  <c r="L6" i="2"/>
  <c r="AZ17" i="2"/>
  <c r="Q17" i="2"/>
  <c r="AG9" i="2"/>
  <c r="N6" i="2"/>
  <c r="D44" i="3"/>
  <c r="AO42" i="2"/>
  <c r="AO52" i="2"/>
  <c r="AF17" i="2"/>
  <c r="AF23" i="2"/>
  <c r="E64" i="2"/>
  <c r="AO40" i="2"/>
  <c r="H76" i="2"/>
  <c r="K76" i="2"/>
  <c r="BI5" i="2"/>
  <c r="AC48" i="2"/>
  <c r="BH17" i="2"/>
  <c r="AW6" i="2"/>
  <c r="BP5" i="2"/>
  <c r="AI6" i="2"/>
  <c r="BB6" i="2"/>
  <c r="BW6" i="2"/>
  <c r="U7" i="2"/>
  <c r="BG17" i="2"/>
  <c r="BY7" i="2"/>
  <c r="E76" i="2"/>
  <c r="AN76" i="2"/>
  <c r="I10" i="3"/>
  <c r="I16" i="3" s="1"/>
  <c r="H10" i="3"/>
  <c r="H15" i="3" s="1"/>
  <c r="P14" i="3"/>
  <c r="AN48" i="2"/>
  <c r="AN63" i="2"/>
  <c r="AM67" i="2"/>
  <c r="AO67" i="2" s="1"/>
  <c r="AM66" i="2"/>
  <c r="AO66" i="2" s="1"/>
  <c r="E65" i="2"/>
  <c r="AM63" i="2"/>
  <c r="AM64" i="2"/>
  <c r="E69" i="2"/>
  <c r="P11" i="3"/>
  <c r="D10" i="3"/>
  <c r="D15" i="3" s="1"/>
  <c r="AH31" i="3"/>
  <c r="S32" i="3"/>
  <c r="D33" i="3"/>
  <c r="D31" i="3"/>
  <c r="AV17" i="2"/>
  <c r="AP7" i="2"/>
  <c r="AH17" i="2"/>
  <c r="BA17" i="2"/>
  <c r="P33" i="3"/>
  <c r="BU17" i="2"/>
  <c r="I44" i="3"/>
  <c r="E43" i="3"/>
  <c r="G33" i="3"/>
  <c r="AK31" i="3"/>
  <c r="BD6" i="2"/>
  <c r="D7" i="2"/>
  <c r="T17" i="2"/>
  <c r="BX17" i="2"/>
  <c r="F7" i="2"/>
  <c r="G31" i="3"/>
  <c r="AK33" i="3"/>
  <c r="S31" i="3"/>
  <c r="V32" i="3"/>
  <c r="AB33" i="3"/>
  <c r="C6" i="2"/>
  <c r="V31" i="3"/>
  <c r="E15" i="2"/>
  <c r="M33" i="3"/>
  <c r="O43" i="3"/>
  <c r="BN17" i="2"/>
  <c r="F6" i="2"/>
  <c r="AN23" i="2"/>
  <c r="BY5" i="2"/>
  <c r="BV17" i="2"/>
  <c r="Y33" i="3"/>
  <c r="AB31" i="3"/>
  <c r="AO41" i="2"/>
  <c r="H23" i="2"/>
  <c r="M44" i="3"/>
  <c r="AO38" i="2"/>
  <c r="AO57" i="2"/>
  <c r="J33" i="3"/>
  <c r="F5" i="2"/>
  <c r="S6" i="2"/>
  <c r="AM23" i="2"/>
  <c r="T23" i="2"/>
  <c r="E16" i="2"/>
  <c r="Z32" i="3"/>
  <c r="M32" i="3"/>
  <c r="AE31" i="3"/>
  <c r="J31" i="3"/>
  <c r="Z5" i="2"/>
  <c r="AO53" i="2"/>
  <c r="AE32" i="3"/>
  <c r="AI5" i="2"/>
  <c r="G16" i="2"/>
  <c r="K23" i="2"/>
  <c r="W23" i="2"/>
  <c r="AO56" i="2"/>
  <c r="H43" i="3"/>
  <c r="F43" i="3"/>
  <c r="G44" i="3"/>
  <c r="P32" i="3"/>
  <c r="L44" i="3"/>
  <c r="AO55" i="2"/>
  <c r="BQ17" i="2"/>
  <c r="AA27" i="3"/>
  <c r="Y32" i="3"/>
  <c r="AO54" i="2"/>
  <c r="C5" i="2"/>
  <c r="AC33" i="3"/>
  <c r="K44" i="3"/>
  <c r="E14" i="2"/>
  <c r="AO39" i="2"/>
  <c r="Z33" i="3"/>
  <c r="AW5" i="2"/>
  <c r="AT17" i="2"/>
  <c r="G14" i="2"/>
  <c r="N43" i="3"/>
  <c r="R17" i="2"/>
  <c r="AG5" i="2"/>
  <c r="U5" i="2"/>
  <c r="AP5" i="2"/>
  <c r="D5" i="2"/>
  <c r="AB5" i="2"/>
  <c r="AN5" i="2"/>
  <c r="BC17" i="2"/>
  <c r="BR5" i="2"/>
  <c r="D6" i="2"/>
  <c r="AA17" i="2"/>
  <c r="J43" i="3"/>
  <c r="P42" i="3"/>
  <c r="Z6" i="2"/>
  <c r="R27" i="3" l="1"/>
  <c r="Q31" i="3"/>
  <c r="P24" i="4"/>
  <c r="I27" i="3"/>
  <c r="Q32" i="3"/>
  <c r="X27" i="3"/>
  <c r="K31" i="3"/>
  <c r="O27" i="3"/>
  <c r="AC32" i="3"/>
  <c r="H33" i="3"/>
  <c r="W33" i="3"/>
  <c r="AD27" i="3"/>
  <c r="AF31" i="3"/>
  <c r="AO65" i="2"/>
  <c r="AO77" i="2"/>
  <c r="E10" i="2"/>
  <c r="K33" i="3"/>
  <c r="AF33" i="3"/>
  <c r="L27" i="3"/>
  <c r="G11" i="2"/>
  <c r="AG27" i="3"/>
  <c r="W32" i="3"/>
  <c r="H32" i="3"/>
  <c r="AJ27" i="3"/>
  <c r="AO51" i="2"/>
  <c r="AO33" i="2"/>
  <c r="N31" i="3"/>
  <c r="N32" i="3"/>
  <c r="AO34" i="2"/>
  <c r="AO50" i="2"/>
  <c r="AC10" i="3"/>
  <c r="M16" i="3"/>
  <c r="O15" i="3"/>
  <c r="U27" i="3"/>
  <c r="AL33" i="3"/>
  <c r="E33" i="3"/>
  <c r="AO25" i="2"/>
  <c r="AO35" i="2"/>
  <c r="T31" i="3"/>
  <c r="AI32" i="3"/>
  <c r="F27" i="3"/>
  <c r="AI31" i="3"/>
  <c r="E32" i="3"/>
  <c r="K16" i="3"/>
  <c r="AO64" i="2"/>
  <c r="AO24" i="2"/>
  <c r="AM27" i="3"/>
  <c r="P16" i="4"/>
  <c r="T33" i="3"/>
  <c r="J16" i="3"/>
  <c r="AL32" i="3"/>
  <c r="L15" i="3"/>
  <c r="AO49" i="2"/>
  <c r="E12" i="2"/>
  <c r="N17" i="2"/>
  <c r="E8" i="2"/>
  <c r="G13" i="2"/>
  <c r="E11" i="2"/>
  <c r="I15" i="3"/>
  <c r="G10" i="2"/>
  <c r="AO76" i="2"/>
  <c r="G9" i="2"/>
  <c r="BR17" i="2"/>
  <c r="BK17" i="2"/>
  <c r="G8" i="2"/>
  <c r="E15" i="3"/>
  <c r="E9" i="2"/>
  <c r="AO32" i="2"/>
  <c r="D16" i="3"/>
  <c r="BP17" i="2"/>
  <c r="AN17" i="2"/>
  <c r="F15" i="3"/>
  <c r="G15" i="3"/>
  <c r="AB17" i="2"/>
  <c r="AO48" i="2"/>
  <c r="AP17" i="2"/>
  <c r="N16" i="3"/>
  <c r="E7" i="2"/>
  <c r="H16" i="3"/>
  <c r="AO63" i="2"/>
  <c r="L17" i="2"/>
  <c r="Z17" i="2"/>
  <c r="BW17" i="2"/>
  <c r="P10" i="3"/>
  <c r="P15" i="3" s="1"/>
  <c r="AI17" i="2"/>
  <c r="AG17" i="2"/>
  <c r="C17" i="2"/>
  <c r="BB17" i="2"/>
  <c r="BI17" i="2"/>
  <c r="AO23" i="2"/>
  <c r="G7" i="2"/>
  <c r="E6" i="2"/>
  <c r="BD17" i="2"/>
  <c r="F17" i="2"/>
  <c r="BY17" i="2"/>
  <c r="S17" i="2"/>
  <c r="U17" i="2"/>
  <c r="AW17" i="2"/>
  <c r="AU17" i="2"/>
  <c r="E5" i="2"/>
  <c r="D17" i="2"/>
  <c r="G6" i="2"/>
  <c r="G5" i="2"/>
  <c r="P44" i="3"/>
  <c r="P43" i="3"/>
  <c r="F3" i="3" l="1"/>
  <c r="D3" i="3" s="1"/>
  <c r="P16" i="3"/>
  <c r="E17" i="2"/>
  <c r="G17" i="2"/>
</calcChain>
</file>

<file path=xl/sharedStrings.xml><?xml version="1.0" encoding="utf-8"?>
<sst xmlns="http://schemas.openxmlformats.org/spreadsheetml/2006/main" count="3173" uniqueCount="814">
  <si>
    <t>初回来館</t>
    <rPh sb="0" eb="4">
      <t>ショカイ</t>
    </rPh>
    <phoneticPr fontId="4"/>
  </si>
  <si>
    <t>No</t>
    <phoneticPr fontId="4"/>
  </si>
  <si>
    <t>受付日</t>
    <rPh sb="0" eb="3">
      <t>ウケツケブ</t>
    </rPh>
    <phoneticPr fontId="4"/>
  </si>
  <si>
    <t>予約内容</t>
    <rPh sb="0" eb="4">
      <t>ヨヤク</t>
    </rPh>
    <phoneticPr fontId="4"/>
  </si>
  <si>
    <t>予約経路</t>
    <rPh sb="0" eb="4">
      <t>ヨヤク</t>
    </rPh>
    <phoneticPr fontId="4"/>
  </si>
  <si>
    <t>小さな結婚式</t>
    <rPh sb="0" eb="1">
      <t>チイサナ</t>
    </rPh>
    <phoneticPr fontId="4"/>
  </si>
  <si>
    <t>ブラスポ</t>
    <phoneticPr fontId="4"/>
  </si>
  <si>
    <t>来館</t>
    <rPh sb="0" eb="2">
      <t>ライカn</t>
    </rPh>
    <phoneticPr fontId="4"/>
  </si>
  <si>
    <t>成約</t>
    <rPh sb="0" eb="2">
      <t>セイヤク</t>
    </rPh>
    <phoneticPr fontId="4"/>
  </si>
  <si>
    <t>3月</t>
    <phoneticPr fontId="4"/>
  </si>
  <si>
    <t>4月</t>
    <phoneticPr fontId="4"/>
  </si>
  <si>
    <t>5月</t>
  </si>
  <si>
    <t>5月</t>
    <phoneticPr fontId="4"/>
  </si>
  <si>
    <t>6月</t>
  </si>
  <si>
    <t>7月</t>
  </si>
  <si>
    <t>8月</t>
  </si>
  <si>
    <t>9月</t>
  </si>
  <si>
    <t>10月</t>
  </si>
  <si>
    <t>11月</t>
  </si>
  <si>
    <t>12月</t>
  </si>
  <si>
    <t>1月</t>
  </si>
  <si>
    <t>2月</t>
  </si>
  <si>
    <t>合計</t>
    <rPh sb="0" eb="2">
      <t>ゴウケイ</t>
    </rPh>
    <phoneticPr fontId="4"/>
  </si>
  <si>
    <t>成約率</t>
    <rPh sb="0" eb="3">
      <t>セイヤク</t>
    </rPh>
    <phoneticPr fontId="4"/>
  </si>
  <si>
    <t>来館率</t>
    <rPh sb="0" eb="2">
      <t>ライカn</t>
    </rPh>
    <rPh sb="2" eb="3">
      <t xml:space="preserve">リツ </t>
    </rPh>
    <phoneticPr fontId="4"/>
  </si>
  <si>
    <t>成約数</t>
    <rPh sb="0" eb="3">
      <t>セイヤク</t>
    </rPh>
    <phoneticPr fontId="4"/>
  </si>
  <si>
    <t>申し込み</t>
    <rPh sb="0" eb="1">
      <t>モウセィ</t>
    </rPh>
    <phoneticPr fontId="4"/>
  </si>
  <si>
    <t>39期</t>
    <phoneticPr fontId="4"/>
  </si>
  <si>
    <t>みんなのウエディング</t>
    <phoneticPr fontId="4"/>
  </si>
  <si>
    <t>初回来館日</t>
    <rPh sb="0" eb="5">
      <t>ショカイ</t>
    </rPh>
    <phoneticPr fontId="4"/>
  </si>
  <si>
    <t>目標</t>
    <rPh sb="0" eb="2">
      <t>モクヒョウ</t>
    </rPh>
    <phoneticPr fontId="4"/>
  </si>
  <si>
    <t>実績</t>
    <rPh sb="0" eb="2">
      <t>ジッセキ</t>
    </rPh>
    <phoneticPr fontId="4"/>
  </si>
  <si>
    <t>前年比</t>
    <rPh sb="0" eb="3">
      <t>ゼンネn</t>
    </rPh>
    <phoneticPr fontId="4"/>
  </si>
  <si>
    <t>先月比</t>
    <rPh sb="0" eb="2">
      <t>センゲテゥ</t>
    </rPh>
    <rPh sb="2" eb="3">
      <t xml:space="preserve">ヒ </t>
    </rPh>
    <phoneticPr fontId="4"/>
  </si>
  <si>
    <t>38期_実績</t>
    <rPh sb="2" eb="3">
      <t xml:space="preserve">キ </t>
    </rPh>
    <rPh sb="4" eb="6">
      <t>ジッセキ</t>
    </rPh>
    <phoneticPr fontId="4"/>
  </si>
  <si>
    <t>37期_実績</t>
    <rPh sb="2" eb="3">
      <t xml:space="preserve">キ </t>
    </rPh>
    <rPh sb="4" eb="6">
      <t>ジッセキ</t>
    </rPh>
    <phoneticPr fontId="4"/>
  </si>
  <si>
    <t>36期_実績</t>
    <rPh sb="2" eb="3">
      <t xml:space="preserve">キ </t>
    </rPh>
    <rPh sb="4" eb="6">
      <t>ジッセキ</t>
    </rPh>
    <phoneticPr fontId="4"/>
  </si>
  <si>
    <t>6月</t>
    <phoneticPr fontId="4"/>
  </si>
  <si>
    <t>7月</t>
    <phoneticPr fontId="4"/>
  </si>
  <si>
    <t>8月</t>
    <phoneticPr fontId="4"/>
  </si>
  <si>
    <t>9月</t>
    <phoneticPr fontId="4"/>
  </si>
  <si>
    <t>達成率</t>
    <rPh sb="0" eb="3">
      <t>タッセイ</t>
    </rPh>
    <phoneticPr fontId="4"/>
  </si>
  <si>
    <t>ルバンケ</t>
    <phoneticPr fontId="4"/>
  </si>
  <si>
    <t>前年比</t>
    <rPh sb="0" eb="3">
      <t>ゼンエn</t>
    </rPh>
    <phoneticPr fontId="4"/>
  </si>
  <si>
    <t>成約数</t>
    <rPh sb="0" eb="3">
      <t>セイヤクス</t>
    </rPh>
    <phoneticPr fontId="4"/>
  </si>
  <si>
    <t>初回来館数</t>
    <rPh sb="0" eb="4">
      <t>ショカイ</t>
    </rPh>
    <rPh sb="4" eb="5">
      <t xml:space="preserve">スウ </t>
    </rPh>
    <phoneticPr fontId="4"/>
  </si>
  <si>
    <t>40期</t>
    <phoneticPr fontId="4"/>
  </si>
  <si>
    <t>37期_実績</t>
    <rPh sb="4" eb="6">
      <t>ジッセキ</t>
    </rPh>
    <phoneticPr fontId="4"/>
  </si>
  <si>
    <t>平均</t>
    <rPh sb="0" eb="2">
      <t>ヘイキn</t>
    </rPh>
    <phoneticPr fontId="4"/>
  </si>
  <si>
    <t>即決</t>
    <rPh sb="0" eb="2">
      <t>ソッケテゥ</t>
    </rPh>
    <phoneticPr fontId="4"/>
  </si>
  <si>
    <t>仮なしより</t>
    <rPh sb="0" eb="1">
      <t>カリ</t>
    </rPh>
    <phoneticPr fontId="4"/>
  </si>
  <si>
    <t>-</t>
    <phoneticPr fontId="4"/>
  </si>
  <si>
    <t>竹田</t>
    <rPh sb="0" eb="2">
      <t>タケダ</t>
    </rPh>
    <phoneticPr fontId="4"/>
  </si>
  <si>
    <t>フェア名</t>
    <phoneticPr fontId="4"/>
  </si>
  <si>
    <t>新婦名</t>
    <rPh sb="0" eb="3">
      <t>シンプ</t>
    </rPh>
    <phoneticPr fontId="4"/>
  </si>
  <si>
    <t>会場</t>
    <rPh sb="0" eb="2">
      <t>カイジョウ</t>
    </rPh>
    <phoneticPr fontId="4"/>
  </si>
  <si>
    <t>競合先1</t>
    <rPh sb="0" eb="2">
      <t>キョウゴウ</t>
    </rPh>
    <rPh sb="2" eb="3">
      <t>サキ</t>
    </rPh>
    <phoneticPr fontId="4"/>
  </si>
  <si>
    <t>競合先2</t>
    <rPh sb="0" eb="3">
      <t>キョウゴウス</t>
    </rPh>
    <phoneticPr fontId="4"/>
  </si>
  <si>
    <t>備考</t>
    <rPh sb="0" eb="2">
      <t>ビコウ</t>
    </rPh>
    <phoneticPr fontId="4"/>
  </si>
  <si>
    <t>希望人数</t>
    <rPh sb="0" eb="4">
      <t>キボウ</t>
    </rPh>
    <phoneticPr fontId="4"/>
  </si>
  <si>
    <t>最終結果/状況</t>
    <rPh sb="0" eb="4">
      <t>サイシュウ</t>
    </rPh>
    <rPh sb="5" eb="7">
      <t>ジョウキョウ</t>
    </rPh>
    <phoneticPr fontId="4"/>
  </si>
  <si>
    <t>自社HP</t>
    <rPh sb="0" eb="2">
      <t>ジセィア</t>
    </rPh>
    <phoneticPr fontId="4"/>
  </si>
  <si>
    <t>申し込み（見学・フェア・資料請求）</t>
    <rPh sb="0" eb="1">
      <t>モウセィ</t>
    </rPh>
    <rPh sb="5" eb="7">
      <t>ケンガク</t>
    </rPh>
    <rPh sb="12" eb="16">
      <t>シリョウ</t>
    </rPh>
    <phoneticPr fontId="4"/>
  </si>
  <si>
    <t>担当者</t>
    <rPh sb="0" eb="2">
      <t>タントウ</t>
    </rPh>
    <rPh sb="2" eb="3">
      <t>sy</t>
    </rPh>
    <phoneticPr fontId="4"/>
  </si>
  <si>
    <t>フェア</t>
    <phoneticPr fontId="4"/>
  </si>
  <si>
    <t>資料請求</t>
    <rPh sb="0" eb="4">
      <t>シリョウ</t>
    </rPh>
    <phoneticPr fontId="4"/>
  </si>
  <si>
    <t>成約（仮より）</t>
  </si>
  <si>
    <t>成約（仮なしより）</t>
  </si>
  <si>
    <t>成約（即決）</t>
    <rPh sb="0" eb="2">
      <t>セイヤク</t>
    </rPh>
    <rPh sb="3" eb="5">
      <t>ソッケツ</t>
    </rPh>
    <phoneticPr fontId="5"/>
  </si>
  <si>
    <t>担当者</t>
    <rPh sb="0" eb="3">
      <t>タントウ</t>
    </rPh>
    <phoneticPr fontId="4"/>
  </si>
  <si>
    <t>恩道</t>
    <rPh sb="0" eb="1">
      <t xml:space="preserve">オン </t>
    </rPh>
    <rPh sb="1" eb="2">
      <t>ミティ</t>
    </rPh>
    <phoneticPr fontId="4"/>
  </si>
  <si>
    <t>森本</t>
    <rPh sb="0" eb="2">
      <t>モリ</t>
    </rPh>
    <phoneticPr fontId="4"/>
  </si>
  <si>
    <t>直TEL</t>
    <rPh sb="0" eb="1">
      <t>チョク</t>
    </rPh>
    <phoneticPr fontId="4"/>
  </si>
  <si>
    <t>取引業者紹介</t>
    <rPh sb="0" eb="2">
      <t>トリヒキ</t>
    </rPh>
    <rPh sb="2" eb="6">
      <t>ギョウ</t>
    </rPh>
    <phoneticPr fontId="4"/>
  </si>
  <si>
    <t>みんウエ</t>
    <phoneticPr fontId="4"/>
  </si>
  <si>
    <t>ゼクナビ</t>
    <phoneticPr fontId="4"/>
  </si>
  <si>
    <t>その他</t>
    <phoneticPr fontId="4"/>
  </si>
  <si>
    <t>見学</t>
    <rPh sb="0" eb="2">
      <t xml:space="preserve">ケンガク </t>
    </rPh>
    <phoneticPr fontId="4"/>
  </si>
  <si>
    <t>相談のみフェア</t>
    <rPh sb="0" eb="2">
      <t>ソウダn</t>
    </rPh>
    <phoneticPr fontId="4"/>
  </si>
  <si>
    <t>月限定フェア</t>
    <rPh sb="0" eb="3">
      <t>ツキゲンテ</t>
    </rPh>
    <phoneticPr fontId="4"/>
  </si>
  <si>
    <t>~10</t>
    <phoneticPr fontId="4"/>
  </si>
  <si>
    <t>11~20</t>
    <phoneticPr fontId="4"/>
  </si>
  <si>
    <t>21~30</t>
    <phoneticPr fontId="4"/>
  </si>
  <si>
    <t>31~40</t>
    <phoneticPr fontId="4"/>
  </si>
  <si>
    <t>41~50</t>
    <phoneticPr fontId="4"/>
  </si>
  <si>
    <t>51~60</t>
    <phoneticPr fontId="4"/>
  </si>
  <si>
    <t>61~70</t>
    <phoneticPr fontId="4"/>
  </si>
  <si>
    <t>71~80</t>
    <phoneticPr fontId="4"/>
  </si>
  <si>
    <t>81~90</t>
    <phoneticPr fontId="4"/>
  </si>
  <si>
    <t>91~100</t>
    <phoneticPr fontId="4"/>
  </si>
  <si>
    <t>101~</t>
    <phoneticPr fontId="4"/>
  </si>
  <si>
    <t>ラヴィーニュ</t>
    <phoneticPr fontId="4"/>
  </si>
  <si>
    <t>競合</t>
    <rPh sb="0" eb="2">
      <t>キョウゴウ</t>
    </rPh>
    <phoneticPr fontId="4"/>
  </si>
  <si>
    <t>■成約率_予約経路別</t>
    <rPh sb="1" eb="4">
      <t>セイヤク</t>
    </rPh>
    <rPh sb="5" eb="7">
      <t>ヨヤク</t>
    </rPh>
    <rPh sb="7" eb="10">
      <t>ケイロ</t>
    </rPh>
    <phoneticPr fontId="4"/>
  </si>
  <si>
    <t>■成約率_担当者別</t>
    <rPh sb="1" eb="4">
      <t>セイヤ</t>
    </rPh>
    <rPh sb="5" eb="9">
      <t>タントウ</t>
    </rPh>
    <phoneticPr fontId="4"/>
  </si>
  <si>
    <t>年齢</t>
    <rPh sb="0" eb="2">
      <t>ネn</t>
    </rPh>
    <phoneticPr fontId="4"/>
  </si>
  <si>
    <t>~20</t>
    <phoneticPr fontId="4"/>
  </si>
  <si>
    <t>21~25</t>
    <phoneticPr fontId="4"/>
  </si>
  <si>
    <t>26~30</t>
    <phoneticPr fontId="4"/>
  </si>
  <si>
    <t>31~35</t>
    <phoneticPr fontId="4"/>
  </si>
  <si>
    <t>36~40</t>
    <phoneticPr fontId="4"/>
  </si>
  <si>
    <t>41~45</t>
    <phoneticPr fontId="4"/>
  </si>
  <si>
    <t>46~50</t>
    <phoneticPr fontId="4"/>
  </si>
  <si>
    <t>不明</t>
    <rPh sb="0" eb="2">
      <t>フメイ</t>
    </rPh>
    <phoneticPr fontId="4"/>
  </si>
  <si>
    <t>予算</t>
    <rPh sb="0" eb="2">
      <t>ヨサn</t>
    </rPh>
    <phoneticPr fontId="4"/>
  </si>
  <si>
    <t>~50万円</t>
    <phoneticPr fontId="4"/>
  </si>
  <si>
    <t>~100万円</t>
    <rPh sb="4" eb="6">
      <t>マンエn</t>
    </rPh>
    <phoneticPr fontId="4"/>
  </si>
  <si>
    <t>~150万円</t>
    <rPh sb="4" eb="6">
      <t>マンエn</t>
    </rPh>
    <phoneticPr fontId="4"/>
  </si>
  <si>
    <t>~200万円</t>
    <phoneticPr fontId="4"/>
  </si>
  <si>
    <t>~250万円</t>
    <phoneticPr fontId="4"/>
  </si>
  <si>
    <t>~300万円</t>
    <phoneticPr fontId="4"/>
  </si>
  <si>
    <t>~350万円</t>
    <phoneticPr fontId="4"/>
  </si>
  <si>
    <t>~400万円</t>
    <phoneticPr fontId="4"/>
  </si>
  <si>
    <t>400万円~</t>
    <phoneticPr fontId="4"/>
  </si>
  <si>
    <t>未定</t>
    <rPh sb="0" eb="2">
      <t>ミテ</t>
    </rPh>
    <phoneticPr fontId="4"/>
  </si>
  <si>
    <t>■成約率_挙式人数別</t>
    <rPh sb="1" eb="4">
      <t>セイヤ</t>
    </rPh>
    <rPh sb="5" eb="10">
      <t>キョシキ</t>
    </rPh>
    <phoneticPr fontId="4"/>
  </si>
  <si>
    <t>■成約率_予算別</t>
    <rPh sb="1" eb="4">
      <t>セイヤ</t>
    </rPh>
    <rPh sb="5" eb="8">
      <t>ヨサn</t>
    </rPh>
    <phoneticPr fontId="4"/>
  </si>
  <si>
    <t>■成約率_新婦年齢別</t>
    <rPh sb="1" eb="4">
      <t>セイヤ</t>
    </rPh>
    <rPh sb="5" eb="10">
      <t>シンプ</t>
    </rPh>
    <phoneticPr fontId="4"/>
  </si>
  <si>
    <t>仮なし</t>
    <rPh sb="0" eb="1">
      <t>カリ</t>
    </rPh>
    <phoneticPr fontId="4"/>
  </si>
  <si>
    <t>仮予約</t>
    <rPh sb="0" eb="1">
      <t>ナシ</t>
    </rPh>
    <phoneticPr fontId="4"/>
  </si>
  <si>
    <t>ロスト</t>
    <phoneticPr fontId="4"/>
  </si>
  <si>
    <t>キャンセル</t>
    <phoneticPr fontId="4"/>
  </si>
  <si>
    <t>見学（下見）</t>
    <rPh sb="0" eb="2">
      <t>ケンガク</t>
    </rPh>
    <rPh sb="3" eb="5">
      <t>シタミ</t>
    </rPh>
    <phoneticPr fontId="4"/>
  </si>
  <si>
    <t>森</t>
    <rPh sb="0" eb="1">
      <t>モリ</t>
    </rPh>
    <phoneticPr fontId="4"/>
  </si>
  <si>
    <t>スイーツフェア</t>
    <phoneticPr fontId="4"/>
  </si>
  <si>
    <t>仮より</t>
    <rPh sb="0" eb="1">
      <t>カリ</t>
    </rPh>
    <phoneticPr fontId="4"/>
  </si>
  <si>
    <t>10月</t>
    <rPh sb="2" eb="3">
      <t>ガテゥ</t>
    </rPh>
    <phoneticPr fontId="4"/>
  </si>
  <si>
    <t>件</t>
    <rPh sb="0" eb="1">
      <t>ケn</t>
    </rPh>
    <phoneticPr fontId="4"/>
  </si>
  <si>
    <t>今期目標達成まであと</t>
    <rPh sb="0" eb="2">
      <t>コンキ</t>
    </rPh>
    <rPh sb="2" eb="4">
      <t>モクヒョウ</t>
    </rPh>
    <rPh sb="4" eb="6">
      <t>タッセイ</t>
    </rPh>
    <phoneticPr fontId="4"/>
  </si>
  <si>
    <t>■Instagram</t>
    <phoneticPr fontId="4"/>
  </si>
  <si>
    <t>■成約状況</t>
    <rPh sb="1" eb="5">
      <t>セイヤク</t>
    </rPh>
    <phoneticPr fontId="4"/>
  </si>
  <si>
    <t>■申し込み状況（フェア、見学、資料請求）</t>
    <rPh sb="1" eb="2">
      <t>モウセィ</t>
    </rPh>
    <rPh sb="5" eb="7">
      <t>ジョウキョウ</t>
    </rPh>
    <rPh sb="12" eb="14">
      <t>ケンガク</t>
    </rPh>
    <rPh sb="15" eb="19">
      <t>シリョウ</t>
    </rPh>
    <phoneticPr fontId="4"/>
  </si>
  <si>
    <t>インタラクション数（保存数）</t>
    <rPh sb="10" eb="13">
      <t>ホゾn</t>
    </rPh>
    <phoneticPr fontId="4"/>
  </si>
  <si>
    <t>ララシャンス金沢</t>
    <rPh sb="6" eb="8">
      <t>カナザワ</t>
    </rPh>
    <phoneticPr fontId="4"/>
  </si>
  <si>
    <t>フラワーガーデン</t>
    <phoneticPr fontId="4"/>
  </si>
  <si>
    <t>アルカンシエル金沢</t>
    <rPh sb="7" eb="9">
      <t>カナザワ</t>
    </rPh>
    <phoneticPr fontId="4"/>
  </si>
  <si>
    <t>アーククラブ迎賓館</t>
    <phoneticPr fontId="4"/>
  </si>
  <si>
    <t>ラグナヴェール</t>
    <phoneticPr fontId="4"/>
  </si>
  <si>
    <t>アマンダン・ヴィラ</t>
    <phoneticPr fontId="4"/>
  </si>
  <si>
    <t>辻家庭園（ノバレーゼ）</t>
    <rPh sb="0" eb="4">
      <t>ツジケテ</t>
    </rPh>
    <phoneticPr fontId="4"/>
  </si>
  <si>
    <t>ヴィラ グランディス</t>
    <phoneticPr fontId="4"/>
  </si>
  <si>
    <t>ヴィクトリアグローブ</t>
    <phoneticPr fontId="4"/>
  </si>
  <si>
    <t>ポール・ボキューズ</t>
    <phoneticPr fontId="4"/>
  </si>
  <si>
    <t>金沢国際ホテル</t>
    <rPh sb="0" eb="4">
      <t>カナザワ</t>
    </rPh>
    <phoneticPr fontId="4"/>
  </si>
  <si>
    <t>ホテル日航金沢</t>
    <rPh sb="3" eb="7">
      <t>ニッコウ</t>
    </rPh>
    <phoneticPr fontId="4"/>
  </si>
  <si>
    <t>KKRホテル金沢</t>
    <rPh sb="6" eb="8">
      <t>カナザワ</t>
    </rPh>
    <phoneticPr fontId="4"/>
  </si>
  <si>
    <t>ANAクラウンプラザホテル</t>
    <phoneticPr fontId="4"/>
  </si>
  <si>
    <t>つば甚</t>
    <phoneticPr fontId="4"/>
  </si>
  <si>
    <t>他県の会場</t>
    <phoneticPr fontId="4"/>
  </si>
  <si>
    <t>式のみ</t>
    <rPh sb="0" eb="1">
      <t>シキ</t>
    </rPh>
    <phoneticPr fontId="4"/>
  </si>
  <si>
    <t>フォトのみ</t>
    <phoneticPr fontId="4"/>
  </si>
  <si>
    <t>式のみ/フォトのみ</t>
    <rPh sb="0" eb="1">
      <t>シキ</t>
    </rPh>
    <phoneticPr fontId="4"/>
  </si>
  <si>
    <t>トネル</t>
    <phoneticPr fontId="4"/>
  </si>
  <si>
    <t>何件目？</t>
    <rPh sb="0" eb="3">
      <t>ナンケn</t>
    </rPh>
    <phoneticPr fontId="4"/>
  </si>
  <si>
    <t>1件目</t>
    <phoneticPr fontId="4"/>
  </si>
  <si>
    <t>2件目</t>
    <phoneticPr fontId="4"/>
  </si>
  <si>
    <t>3件目</t>
    <phoneticPr fontId="4"/>
  </si>
  <si>
    <t>4件目以上</t>
    <phoneticPr fontId="4"/>
  </si>
  <si>
    <t>フォロー数</t>
    <phoneticPr fontId="4"/>
  </si>
  <si>
    <t>自社HP（フェア・見学）</t>
    <rPh sb="0" eb="2">
      <t>ジセィア</t>
    </rPh>
    <rPh sb="9" eb="11">
      <t>ケンガク</t>
    </rPh>
    <phoneticPr fontId="4"/>
  </si>
  <si>
    <t>自社HP（資料請求）</t>
    <rPh sb="0" eb="2">
      <t>ジセィア</t>
    </rPh>
    <rPh sb="5" eb="9">
      <t>シリョウ</t>
    </rPh>
    <phoneticPr fontId="4"/>
  </si>
  <si>
    <t>直TEL（資料請求）</t>
    <rPh sb="0" eb="1">
      <t>チョク</t>
    </rPh>
    <rPh sb="5" eb="9">
      <t>シリョウ</t>
    </rPh>
    <phoneticPr fontId="4"/>
  </si>
  <si>
    <t>直TEL（フェア・見学）</t>
    <rPh sb="0" eb="1">
      <t>チョク</t>
    </rPh>
    <rPh sb="9" eb="11">
      <t>ケンガク</t>
    </rPh>
    <phoneticPr fontId="4"/>
  </si>
  <si>
    <t>~150万円</t>
    <phoneticPr fontId="4"/>
  </si>
  <si>
    <t>■成約率_何件目？</t>
    <rPh sb="1" eb="4">
      <t>セイヤク</t>
    </rPh>
    <rPh sb="5" eb="8">
      <t>ナンケn</t>
    </rPh>
    <phoneticPr fontId="4"/>
  </si>
  <si>
    <t>4件目以上</t>
    <rPh sb="3" eb="5">
      <t>イジョウ</t>
    </rPh>
    <phoneticPr fontId="4"/>
  </si>
  <si>
    <t>ラヴィーニュ</t>
  </si>
  <si>
    <t>今村</t>
    <rPh sb="0" eb="2">
      <t>イマムラ</t>
    </rPh>
    <phoneticPr fontId="4"/>
  </si>
  <si>
    <t>西村</t>
    <rPh sb="0" eb="2">
      <t>ニシムラ</t>
    </rPh>
    <phoneticPr fontId="4"/>
  </si>
  <si>
    <t>ルバンケ</t>
  </si>
  <si>
    <t>鷲平</t>
    <rPh sb="0" eb="2">
      <t>ワシヒラ</t>
    </rPh>
    <phoneticPr fontId="4"/>
  </si>
  <si>
    <t>角海</t>
    <rPh sb="0" eb="2">
      <t>カクミ</t>
    </rPh>
    <phoneticPr fontId="4"/>
  </si>
  <si>
    <t>連</t>
    <rPh sb="0" eb="1">
      <t>レン</t>
    </rPh>
    <phoneticPr fontId="4"/>
  </si>
  <si>
    <t>矢部</t>
    <rPh sb="0" eb="2">
      <t>ヤベ</t>
    </rPh>
    <phoneticPr fontId="4"/>
  </si>
  <si>
    <t>町</t>
    <rPh sb="0" eb="1">
      <t>マチ</t>
    </rPh>
    <phoneticPr fontId="4"/>
  </si>
  <si>
    <t>川口</t>
    <rPh sb="0" eb="2">
      <t>カワグチ</t>
    </rPh>
    <phoneticPr fontId="4"/>
  </si>
  <si>
    <t>百海</t>
    <rPh sb="0" eb="1">
      <t>ヒャク</t>
    </rPh>
    <rPh sb="1" eb="2">
      <t>ウミ</t>
    </rPh>
    <phoneticPr fontId="4"/>
  </si>
  <si>
    <t>二木</t>
    <rPh sb="0" eb="2">
      <t>フタキ</t>
    </rPh>
    <phoneticPr fontId="4"/>
  </si>
  <si>
    <t>橋本</t>
    <rPh sb="0" eb="2">
      <t>ハシモト</t>
    </rPh>
    <phoneticPr fontId="4"/>
  </si>
  <si>
    <t>濱野</t>
    <rPh sb="0" eb="2">
      <t>ハマノ</t>
    </rPh>
    <phoneticPr fontId="4"/>
  </si>
  <si>
    <t>松平</t>
    <rPh sb="0" eb="2">
      <t>マツヒラ</t>
    </rPh>
    <phoneticPr fontId="4"/>
  </si>
  <si>
    <t>松井</t>
    <rPh sb="0" eb="2">
      <t>マツイ</t>
    </rPh>
    <phoneticPr fontId="4"/>
  </si>
  <si>
    <t>今田</t>
    <rPh sb="0" eb="2">
      <t>イマダ</t>
    </rPh>
    <phoneticPr fontId="4"/>
  </si>
  <si>
    <t>野股</t>
    <rPh sb="0" eb="2">
      <t>ノマタ</t>
    </rPh>
    <phoneticPr fontId="4"/>
  </si>
  <si>
    <t>新森</t>
    <rPh sb="0" eb="1">
      <t>シン</t>
    </rPh>
    <rPh sb="1" eb="2">
      <t>モリ</t>
    </rPh>
    <phoneticPr fontId="4"/>
  </si>
  <si>
    <t>政守</t>
    <rPh sb="0" eb="1">
      <t>セイ</t>
    </rPh>
    <rPh sb="1" eb="2">
      <t>モリ</t>
    </rPh>
    <phoneticPr fontId="4"/>
  </si>
  <si>
    <t>北村</t>
    <rPh sb="0" eb="2">
      <t>キタムラ</t>
    </rPh>
    <phoneticPr fontId="4"/>
  </si>
  <si>
    <t>中野</t>
    <rPh sb="0" eb="2">
      <t>ナカノ</t>
    </rPh>
    <phoneticPr fontId="4"/>
  </si>
  <si>
    <t>小深田</t>
    <rPh sb="0" eb="3">
      <t>コフカダ</t>
    </rPh>
    <phoneticPr fontId="4"/>
  </si>
  <si>
    <t>岩田</t>
    <rPh sb="0" eb="2">
      <t>イワタ</t>
    </rPh>
    <phoneticPr fontId="4"/>
  </si>
  <si>
    <t>滑川</t>
    <rPh sb="0" eb="2">
      <t>ナメリカワ</t>
    </rPh>
    <phoneticPr fontId="4"/>
  </si>
  <si>
    <t>島野</t>
    <rPh sb="0" eb="2">
      <t>シマノ</t>
    </rPh>
    <phoneticPr fontId="4"/>
  </si>
  <si>
    <t>上井</t>
    <rPh sb="0" eb="2">
      <t>カミイ</t>
    </rPh>
    <phoneticPr fontId="4"/>
  </si>
  <si>
    <t>栗林</t>
    <rPh sb="0" eb="2">
      <t>クリバヤシ</t>
    </rPh>
    <phoneticPr fontId="4"/>
  </si>
  <si>
    <t>朝日</t>
    <rPh sb="0" eb="1">
      <t>アサ</t>
    </rPh>
    <rPh sb="1" eb="2">
      <t>ニチ</t>
    </rPh>
    <phoneticPr fontId="4"/>
  </si>
  <si>
    <t>金治</t>
    <rPh sb="0" eb="2">
      <t>カネハル</t>
    </rPh>
    <phoneticPr fontId="4"/>
  </si>
  <si>
    <t>小路</t>
    <rPh sb="0" eb="2">
      <t>ショウジ</t>
    </rPh>
    <phoneticPr fontId="4"/>
  </si>
  <si>
    <t>慶塚</t>
    <rPh sb="0" eb="1">
      <t>ケイ</t>
    </rPh>
    <rPh sb="1" eb="2">
      <t>ヅカ</t>
    </rPh>
    <phoneticPr fontId="4"/>
  </si>
  <si>
    <t>後山</t>
    <rPh sb="0" eb="2">
      <t>ウシロヤマ</t>
    </rPh>
    <phoneticPr fontId="4"/>
  </si>
  <si>
    <t>山瀬</t>
    <rPh sb="0" eb="2">
      <t>ヤマセ</t>
    </rPh>
    <phoneticPr fontId="4"/>
  </si>
  <si>
    <t>織田</t>
    <rPh sb="0" eb="2">
      <t>オダ</t>
    </rPh>
    <phoneticPr fontId="4"/>
  </si>
  <si>
    <t>毛登</t>
    <rPh sb="0" eb="1">
      <t>ケ</t>
    </rPh>
    <rPh sb="1" eb="2">
      <t>ノボル</t>
    </rPh>
    <phoneticPr fontId="4"/>
  </si>
  <si>
    <t>西頭</t>
    <rPh sb="0" eb="2">
      <t>サイトウ</t>
    </rPh>
    <phoneticPr fontId="4"/>
  </si>
  <si>
    <t>小山</t>
    <rPh sb="0" eb="2">
      <t>コヤマ</t>
    </rPh>
    <phoneticPr fontId="4"/>
  </si>
  <si>
    <t>近藤</t>
    <rPh sb="0" eb="2">
      <t>コンドウ</t>
    </rPh>
    <phoneticPr fontId="4"/>
  </si>
  <si>
    <t>濱田</t>
    <rPh sb="0" eb="2">
      <t>ハマダ</t>
    </rPh>
    <phoneticPr fontId="4"/>
  </si>
  <si>
    <t>吉藤</t>
    <rPh sb="0" eb="1">
      <t>ヨシ</t>
    </rPh>
    <rPh sb="1" eb="2">
      <t>フジ</t>
    </rPh>
    <phoneticPr fontId="4"/>
  </si>
  <si>
    <t>藤沢</t>
    <rPh sb="0" eb="2">
      <t>フジサワ</t>
    </rPh>
    <phoneticPr fontId="4"/>
  </si>
  <si>
    <t>谷内</t>
    <rPh sb="0" eb="2">
      <t>ヤチ</t>
    </rPh>
    <phoneticPr fontId="4"/>
  </si>
  <si>
    <t>小判</t>
    <rPh sb="0" eb="2">
      <t>コバン</t>
    </rPh>
    <phoneticPr fontId="4"/>
  </si>
  <si>
    <t>石黒</t>
    <rPh sb="0" eb="2">
      <t>イシグロ</t>
    </rPh>
    <phoneticPr fontId="4"/>
  </si>
  <si>
    <t>湯浅</t>
    <rPh sb="0" eb="2">
      <t>ユアサ</t>
    </rPh>
    <phoneticPr fontId="4"/>
  </si>
  <si>
    <t>道海</t>
    <rPh sb="0" eb="1">
      <t>ドウ</t>
    </rPh>
    <rPh sb="1" eb="2">
      <t>ウミ</t>
    </rPh>
    <phoneticPr fontId="4"/>
  </si>
  <si>
    <t>大乗</t>
    <rPh sb="0" eb="2">
      <t>オオノリ</t>
    </rPh>
    <phoneticPr fontId="4"/>
  </si>
  <si>
    <t>松本</t>
    <rPh sb="0" eb="2">
      <t>マツモト</t>
    </rPh>
    <phoneticPr fontId="4"/>
  </si>
  <si>
    <t>奥野</t>
    <rPh sb="0" eb="2">
      <t>オクノ</t>
    </rPh>
    <phoneticPr fontId="4"/>
  </si>
  <si>
    <t>中田</t>
    <rPh sb="0" eb="2">
      <t>ナカタ</t>
    </rPh>
    <phoneticPr fontId="4"/>
  </si>
  <si>
    <t>竹澤</t>
    <rPh sb="0" eb="2">
      <t>タケザワ</t>
    </rPh>
    <phoneticPr fontId="4"/>
  </si>
  <si>
    <t>栗山</t>
    <rPh sb="0" eb="2">
      <t>クリヤマ</t>
    </rPh>
    <phoneticPr fontId="4"/>
  </si>
  <si>
    <t>干野</t>
    <rPh sb="0" eb="1">
      <t>ホ</t>
    </rPh>
    <rPh sb="1" eb="2">
      <t>ノ</t>
    </rPh>
    <phoneticPr fontId="4"/>
  </si>
  <si>
    <t>トネル</t>
  </si>
  <si>
    <t>バリテラスココ金沢</t>
    <rPh sb="7" eb="9">
      <t>カナザワ</t>
    </rPh>
    <phoneticPr fontId="4"/>
  </si>
  <si>
    <t>釣谷</t>
    <rPh sb="0" eb="2">
      <t>ツリヤ</t>
    </rPh>
    <phoneticPr fontId="4"/>
  </si>
  <si>
    <t>森下</t>
    <rPh sb="0" eb="2">
      <t>モリシタ</t>
    </rPh>
    <phoneticPr fontId="4"/>
  </si>
  <si>
    <t>36期_実績</t>
    <rPh sb="4" eb="6">
      <t>ジッセキ</t>
    </rPh>
    <phoneticPr fontId="4"/>
  </si>
  <si>
    <t>■施行状況</t>
    <rPh sb="1" eb="3">
      <t>シコウ</t>
    </rPh>
    <rPh sb="3" eb="5">
      <t>ジョウキョウ</t>
    </rPh>
    <phoneticPr fontId="4"/>
  </si>
  <si>
    <t>今期決定施行数</t>
    <rPh sb="0" eb="2">
      <t>コンキ</t>
    </rPh>
    <rPh sb="2" eb="4">
      <t>ケッテイ</t>
    </rPh>
    <rPh sb="4" eb="6">
      <t>セコウ</t>
    </rPh>
    <rPh sb="6" eb="7">
      <t>スウ</t>
    </rPh>
    <phoneticPr fontId="4"/>
  </si>
  <si>
    <t>今期目標施行数</t>
    <rPh sb="0" eb="2">
      <t>コンキ</t>
    </rPh>
    <rPh sb="2" eb="4">
      <t>ライキ</t>
    </rPh>
    <rPh sb="4" eb="6">
      <t>セコウ</t>
    </rPh>
    <rPh sb="6" eb="7">
      <t>ケンスウ</t>
    </rPh>
    <phoneticPr fontId="4"/>
  </si>
  <si>
    <t>前年施行数</t>
    <rPh sb="0" eb="2">
      <t>ゼンネn</t>
    </rPh>
    <rPh sb="2" eb="4">
      <t>セコウ</t>
    </rPh>
    <rPh sb="4" eb="5">
      <t>スウ</t>
    </rPh>
    <phoneticPr fontId="4"/>
  </si>
  <si>
    <t>施行日</t>
    <rPh sb="0" eb="2">
      <t>セコウ</t>
    </rPh>
    <rPh sb="2" eb="3">
      <t>ビ</t>
    </rPh>
    <phoneticPr fontId="4"/>
  </si>
  <si>
    <t>施行希望日</t>
    <rPh sb="0" eb="4">
      <t>セコウキボウ</t>
    </rPh>
    <rPh sb="4" eb="5">
      <t>ビ</t>
    </rPh>
    <phoneticPr fontId="4"/>
  </si>
  <si>
    <t>予約経路</t>
    <rPh sb="0" eb="4">
      <t>ヨヤクケイロ</t>
    </rPh>
    <phoneticPr fontId="4"/>
  </si>
  <si>
    <t>予約内容</t>
    <rPh sb="0" eb="4">
      <t>ヨヤクナイヨウ</t>
    </rPh>
    <phoneticPr fontId="4"/>
  </si>
  <si>
    <t>フェア名</t>
    <rPh sb="3" eb="4">
      <t>メイ</t>
    </rPh>
    <phoneticPr fontId="4"/>
  </si>
  <si>
    <t>自社HP</t>
    <rPh sb="0" eb="2">
      <t>ジシャ</t>
    </rPh>
    <phoneticPr fontId="4"/>
  </si>
  <si>
    <t>入れる</t>
    <rPh sb="0" eb="1">
      <t>イ</t>
    </rPh>
    <phoneticPr fontId="4"/>
  </si>
  <si>
    <t>その他</t>
    <rPh sb="2" eb="3">
      <t>タ</t>
    </rPh>
    <phoneticPr fontId="4"/>
  </si>
  <si>
    <t>見学</t>
    <rPh sb="0" eb="2">
      <t>ケンガク</t>
    </rPh>
    <phoneticPr fontId="4"/>
  </si>
  <si>
    <t>なし</t>
    <phoneticPr fontId="4"/>
  </si>
  <si>
    <t>青木</t>
    <rPh sb="0" eb="2">
      <t>アオキ</t>
    </rPh>
    <phoneticPr fontId="4"/>
  </si>
  <si>
    <t>田中</t>
    <rPh sb="0" eb="2">
      <t>タナカ</t>
    </rPh>
    <phoneticPr fontId="4"/>
  </si>
  <si>
    <t>波瀬</t>
    <rPh sb="0" eb="2">
      <t>ハセ</t>
    </rPh>
    <phoneticPr fontId="4"/>
  </si>
  <si>
    <t>野田</t>
    <rPh sb="0" eb="2">
      <t>ノダ</t>
    </rPh>
    <phoneticPr fontId="4"/>
  </si>
  <si>
    <t>浅井</t>
    <rPh sb="0" eb="2">
      <t>アサイ</t>
    </rPh>
    <phoneticPr fontId="4"/>
  </si>
  <si>
    <t>谷森</t>
    <rPh sb="0" eb="2">
      <t>タニモリ</t>
    </rPh>
    <phoneticPr fontId="4"/>
  </si>
  <si>
    <t>飯田</t>
    <rPh sb="0" eb="2">
      <t>イイダ</t>
    </rPh>
    <phoneticPr fontId="4"/>
  </si>
  <si>
    <t>申し込み（見学・フェア・資料請求）の欄にて</t>
    <rPh sb="18" eb="19">
      <t>ラン</t>
    </rPh>
    <phoneticPr fontId="4"/>
  </si>
  <si>
    <t>①新規予約が入ると、申し込み欄記入</t>
    <rPh sb="1" eb="5">
      <t>シンキヨヤク</t>
    </rPh>
    <rPh sb="6" eb="7">
      <t>ハイ</t>
    </rPh>
    <rPh sb="10" eb="11">
      <t>モウ</t>
    </rPh>
    <rPh sb="12" eb="13">
      <t>コ</t>
    </rPh>
    <rPh sb="14" eb="15">
      <t>ラン</t>
    </rPh>
    <rPh sb="15" eb="17">
      <t>キニュウ</t>
    </rPh>
    <phoneticPr fontId="4"/>
  </si>
  <si>
    <t>↓</t>
    <phoneticPr fontId="4"/>
  </si>
  <si>
    <t>※最終結果下見（見学）の場合　担当者は備考に入力する</t>
    <rPh sb="1" eb="5">
      <t>サイシュウケッカ</t>
    </rPh>
    <rPh sb="5" eb="7">
      <t>シタミ</t>
    </rPh>
    <rPh sb="8" eb="10">
      <t>ケンガク</t>
    </rPh>
    <rPh sb="12" eb="14">
      <t>バアイ</t>
    </rPh>
    <rPh sb="15" eb="18">
      <t>タントウシャ</t>
    </rPh>
    <rPh sb="19" eb="21">
      <t>ビコウ</t>
    </rPh>
    <rPh sb="22" eb="24">
      <t>ニュウリョク</t>
    </rPh>
    <phoneticPr fontId="4"/>
  </si>
  <si>
    <t>②来館接客後　結果を記入</t>
    <rPh sb="1" eb="3">
      <t>ライカン</t>
    </rPh>
    <rPh sb="3" eb="6">
      <t>セッキャクゴ</t>
    </rPh>
    <rPh sb="7" eb="9">
      <t>ケッカ</t>
    </rPh>
    <rPh sb="10" eb="12">
      <t>キニュウ</t>
    </rPh>
    <phoneticPr fontId="4"/>
  </si>
  <si>
    <t>松永</t>
    <rPh sb="0" eb="2">
      <t>マツナガ</t>
    </rPh>
    <phoneticPr fontId="4"/>
  </si>
  <si>
    <t>大橋</t>
    <rPh sb="0" eb="2">
      <t>オオハシ</t>
    </rPh>
    <phoneticPr fontId="4"/>
  </si>
  <si>
    <t>山本</t>
    <rPh sb="0" eb="2">
      <t>ヤマモト</t>
    </rPh>
    <phoneticPr fontId="4"/>
  </si>
  <si>
    <t>ハーフ試食フェア</t>
    <rPh sb="3" eb="5">
      <t>シショク</t>
    </rPh>
    <phoneticPr fontId="4"/>
  </si>
  <si>
    <t>ゼクナビ</t>
  </si>
  <si>
    <t>比古田</t>
    <rPh sb="0" eb="3">
      <t>ヒコダ</t>
    </rPh>
    <phoneticPr fontId="4"/>
  </si>
  <si>
    <t>京田</t>
    <rPh sb="0" eb="1">
      <t>キョウ</t>
    </rPh>
    <rPh sb="1" eb="2">
      <t>タ</t>
    </rPh>
    <phoneticPr fontId="4"/>
  </si>
  <si>
    <t>ブラスポ</t>
  </si>
  <si>
    <t>安井　晨</t>
    <phoneticPr fontId="4"/>
  </si>
  <si>
    <t>3/4資料請求時質問あり/返信済み/京都在住</t>
    <rPh sb="3" eb="8">
      <t>シリョウセイキュウジ</t>
    </rPh>
    <rPh sb="8" eb="10">
      <t>シツモン</t>
    </rPh>
    <rPh sb="13" eb="16">
      <t>ヘンシンズ</t>
    </rPh>
    <rPh sb="18" eb="20">
      <t>キョウト</t>
    </rPh>
    <rPh sb="20" eb="22">
      <t>ザイジュウ</t>
    </rPh>
    <phoneticPr fontId="4"/>
  </si>
  <si>
    <t>ロスト</t>
  </si>
  <si>
    <t>みんウエ</t>
  </si>
  <si>
    <t>宮地　実花</t>
    <rPh sb="0" eb="1">
      <t>ミヤ</t>
    </rPh>
    <rPh sb="1" eb="2">
      <t>ジ</t>
    </rPh>
    <rPh sb="3" eb="4">
      <t>ミ</t>
    </rPh>
    <rPh sb="4" eb="5">
      <t>ハナ</t>
    </rPh>
    <phoneticPr fontId="4"/>
  </si>
  <si>
    <t>宮田　さやか</t>
    <rPh sb="0" eb="2">
      <t>ミヤタ</t>
    </rPh>
    <phoneticPr fontId="4"/>
  </si>
  <si>
    <t>飯田 靖子</t>
  </si>
  <si>
    <t>11~20</t>
  </si>
  <si>
    <t>1件目</t>
  </si>
  <si>
    <t>中川　晨吾</t>
    <rPh sb="0" eb="2">
      <t>ナカガワ</t>
    </rPh>
    <rPh sb="3" eb="4">
      <t>シン</t>
    </rPh>
    <rPh sb="4" eb="5">
      <t>ゴ</t>
    </rPh>
    <phoneticPr fontId="4"/>
  </si>
  <si>
    <t>26~30</t>
  </si>
  <si>
    <t>佐野紫音</t>
    <rPh sb="0" eb="2">
      <t>サノ</t>
    </rPh>
    <rPh sb="2" eb="3">
      <t>ムラサキ</t>
    </rPh>
    <rPh sb="3" eb="4">
      <t>オト</t>
    </rPh>
    <phoneticPr fontId="4"/>
  </si>
  <si>
    <t>31~40</t>
  </si>
  <si>
    <t>~200万円</t>
  </si>
  <si>
    <t>2件目</t>
  </si>
  <si>
    <t>フラワーガーデン</t>
  </si>
  <si>
    <t>31~35</t>
  </si>
  <si>
    <t>入籍済み　ゲスト全て県外　7名か16名の親族のみ</t>
    <rPh sb="0" eb="3">
      <t>ニュウセキズ</t>
    </rPh>
    <rPh sb="8" eb="9">
      <t>スベ</t>
    </rPh>
    <rPh sb="10" eb="12">
      <t>ケンガイ</t>
    </rPh>
    <rPh sb="14" eb="15">
      <t>メイ</t>
    </rPh>
    <rPh sb="18" eb="19">
      <t>メイ</t>
    </rPh>
    <rPh sb="20" eb="22">
      <t>シンゾク</t>
    </rPh>
    <phoneticPr fontId="4"/>
  </si>
  <si>
    <t>新郎母が以前ぶどうの木お勤めでNG　2部制ｱﾙｶﾝで他決</t>
    <rPh sb="0" eb="3">
      <t>シンロウハハ</t>
    </rPh>
    <rPh sb="4" eb="6">
      <t>イゼン</t>
    </rPh>
    <rPh sb="10" eb="11">
      <t>キ</t>
    </rPh>
    <rPh sb="12" eb="13">
      <t>ツト</t>
    </rPh>
    <rPh sb="19" eb="21">
      <t>ブセイ</t>
    </rPh>
    <rPh sb="26" eb="28">
      <t>タケツ</t>
    </rPh>
    <phoneticPr fontId="4"/>
  </si>
  <si>
    <t>フェア</t>
  </si>
  <si>
    <t>大慶　俊介</t>
    <rPh sb="0" eb="1">
      <t>オオ</t>
    </rPh>
    <rPh sb="3" eb="5">
      <t>シュンスケ</t>
    </rPh>
    <phoneticPr fontId="4"/>
  </si>
  <si>
    <t>堀江　彩夏</t>
    <rPh sb="0" eb="2">
      <t>ホリエ</t>
    </rPh>
    <rPh sb="3" eb="5">
      <t>アヤカ</t>
    </rPh>
    <phoneticPr fontId="4"/>
  </si>
  <si>
    <t>その他</t>
  </si>
  <si>
    <t>川西　翔吾</t>
    <rPh sb="0" eb="2">
      <t>カワニシ</t>
    </rPh>
    <rPh sb="3" eb="5">
      <t>ショウゴ</t>
    </rPh>
    <phoneticPr fontId="4"/>
  </si>
  <si>
    <t>ヴィクトリアグローブ</t>
  </si>
  <si>
    <t>挙式のみ（友人含む）or挙式（友人含む）+お食事会（親族のみ）</t>
    <rPh sb="0" eb="2">
      <t>キョシキ</t>
    </rPh>
    <rPh sb="5" eb="8">
      <t>ユウジンフク</t>
    </rPh>
    <rPh sb="12" eb="14">
      <t>キョシキ</t>
    </rPh>
    <rPh sb="15" eb="17">
      <t>ユウジン</t>
    </rPh>
    <rPh sb="17" eb="18">
      <t>フク</t>
    </rPh>
    <rPh sb="22" eb="25">
      <t>ショクジカイ</t>
    </rPh>
    <rPh sb="26" eb="28">
      <t>シンゾク</t>
    </rPh>
    <phoneticPr fontId="4"/>
  </si>
  <si>
    <t>~250万円</t>
  </si>
  <si>
    <t>3件目</t>
  </si>
  <si>
    <t>大西晴樹</t>
    <rPh sb="0" eb="2">
      <t>オオニシ</t>
    </rPh>
    <rPh sb="2" eb="4">
      <t>ハルキ</t>
    </rPh>
    <phoneticPr fontId="4"/>
  </si>
  <si>
    <t>中村雅</t>
    <rPh sb="0" eb="2">
      <t>ナカムラ</t>
    </rPh>
    <rPh sb="2" eb="3">
      <t>マサ</t>
    </rPh>
    <phoneticPr fontId="4"/>
  </si>
  <si>
    <t>親族のみか友人も含めてで人数未定　コロナ心配</t>
    <rPh sb="0" eb="2">
      <t>シンゾク</t>
    </rPh>
    <rPh sb="5" eb="7">
      <t>ユウジン</t>
    </rPh>
    <rPh sb="8" eb="9">
      <t>フク</t>
    </rPh>
    <rPh sb="12" eb="14">
      <t>ニンズウ</t>
    </rPh>
    <rPh sb="14" eb="16">
      <t>ミテイ</t>
    </rPh>
    <rPh sb="20" eb="22">
      <t>シンパイ</t>
    </rPh>
    <phoneticPr fontId="4"/>
  </si>
  <si>
    <t>他県の会場</t>
  </si>
  <si>
    <t>福田　倭子</t>
    <phoneticPr fontId="4"/>
  </si>
  <si>
    <t>中瀬　李玖</t>
    <phoneticPr fontId="4"/>
  </si>
  <si>
    <t>TEL出ず、留守電いれた</t>
    <rPh sb="3" eb="4">
      <t>デ</t>
    </rPh>
    <rPh sb="6" eb="9">
      <t>ルスデン</t>
    </rPh>
    <phoneticPr fontId="4"/>
  </si>
  <si>
    <t>TEL番号が金沢国際ホテルのため、TELせず</t>
    <rPh sb="3" eb="5">
      <t>バンゴウ</t>
    </rPh>
    <rPh sb="6" eb="8">
      <t>カナザワ</t>
    </rPh>
    <rPh sb="8" eb="10">
      <t>コクサイ</t>
    </rPh>
    <phoneticPr fontId="4"/>
  </si>
  <si>
    <t>21~30</t>
  </si>
  <si>
    <t>菅野　勝</t>
    <rPh sb="0" eb="2">
      <t>カンノ</t>
    </rPh>
    <rPh sb="3" eb="4">
      <t>マサル</t>
    </rPh>
    <phoneticPr fontId="4"/>
  </si>
  <si>
    <t>馬藤　里奈</t>
    <rPh sb="0" eb="1">
      <t>ウマ</t>
    </rPh>
    <rPh sb="1" eb="2">
      <t>フジ</t>
    </rPh>
    <rPh sb="3" eb="5">
      <t>リナ</t>
    </rPh>
    <phoneticPr fontId="4"/>
  </si>
  <si>
    <t>鈴木　聖望</t>
    <rPh sb="0" eb="2">
      <t>スズキ</t>
    </rPh>
    <rPh sb="3" eb="4">
      <t>セイ</t>
    </rPh>
    <rPh sb="4" eb="5">
      <t>ノゾミ</t>
    </rPh>
    <phoneticPr fontId="4"/>
  </si>
  <si>
    <t>新郎名</t>
    <rPh sb="0" eb="3">
      <t>シンロウ</t>
    </rPh>
    <phoneticPr fontId="4"/>
  </si>
  <si>
    <t>伊藤　大悟</t>
    <rPh sb="0" eb="2">
      <t>イトウ</t>
    </rPh>
    <rPh sb="3" eb="5">
      <t>ダイゴ</t>
    </rPh>
    <phoneticPr fontId="4"/>
  </si>
  <si>
    <t>21~25</t>
  </si>
  <si>
    <t>伊藤　来美</t>
    <rPh sb="0" eb="2">
      <t>イトウ</t>
    </rPh>
    <rPh sb="3" eb="4">
      <t>コ</t>
    </rPh>
    <rPh sb="4" eb="5">
      <t>ミ</t>
    </rPh>
    <phoneticPr fontId="4"/>
  </si>
  <si>
    <t>親族のみ、式＋食事会、ぜクなびが紹介。子供多いので配慮したい。ぜクなびより電話:フラワーにて他決</t>
    <rPh sb="0" eb="2">
      <t>シンゾク</t>
    </rPh>
    <rPh sb="5" eb="7">
      <t>シキタス</t>
    </rPh>
    <rPh sb="7" eb="10">
      <t>ショクジカイ</t>
    </rPh>
    <rPh sb="16" eb="18">
      <t>ショウカイ</t>
    </rPh>
    <rPh sb="19" eb="21">
      <t>コドモ</t>
    </rPh>
    <rPh sb="21" eb="22">
      <t>オオ</t>
    </rPh>
    <rPh sb="25" eb="27">
      <t>ハイリョ</t>
    </rPh>
    <rPh sb="37" eb="39">
      <t>デンワ</t>
    </rPh>
    <rPh sb="46" eb="48">
      <t>タケツ</t>
    </rPh>
    <phoneticPr fontId="4"/>
  </si>
  <si>
    <t>上田　栞</t>
    <rPh sb="0" eb="2">
      <t>ウエダ</t>
    </rPh>
    <rPh sb="3" eb="4">
      <t>シオリ</t>
    </rPh>
    <phoneticPr fontId="4"/>
  </si>
  <si>
    <t>フェア</t>
    <phoneticPr fontId="4"/>
  </si>
  <si>
    <t>鈴木涼太</t>
    <rPh sb="0" eb="2">
      <t>スズキ</t>
    </rPh>
    <rPh sb="2" eb="4">
      <t>リョウタ</t>
    </rPh>
    <phoneticPr fontId="4"/>
  </si>
  <si>
    <t>2月に資料請求カタログ届くと思ってた　親族のみ　</t>
    <rPh sb="1" eb="2">
      <t>ガツ</t>
    </rPh>
    <rPh sb="3" eb="7">
      <t>シリョウセイキュウ</t>
    </rPh>
    <rPh sb="11" eb="12">
      <t>トド</t>
    </rPh>
    <rPh sb="14" eb="15">
      <t>オモ</t>
    </rPh>
    <rPh sb="19" eb="21">
      <t>シンゾク</t>
    </rPh>
    <phoneticPr fontId="4"/>
  </si>
  <si>
    <t>林　登</t>
    <rPh sb="0" eb="1">
      <t>ハヤシ</t>
    </rPh>
    <rPh sb="2" eb="3">
      <t>ノボル</t>
    </rPh>
    <phoneticPr fontId="4"/>
  </si>
  <si>
    <t>中川　笑里</t>
    <rPh sb="0" eb="2">
      <t>ナカガワ</t>
    </rPh>
    <rPh sb="3" eb="4">
      <t>エ</t>
    </rPh>
    <rPh sb="4" eb="5">
      <t>リ</t>
    </rPh>
    <phoneticPr fontId="4"/>
  </si>
  <si>
    <t>~20</t>
  </si>
  <si>
    <t>2023/7～8月</t>
    <rPh sb="8" eb="9">
      <t>ガツ</t>
    </rPh>
    <phoneticPr fontId="4"/>
  </si>
  <si>
    <t>親族のみ　式+お食事会　新婦妊娠4カ月　</t>
    <rPh sb="0" eb="2">
      <t>シンゾク</t>
    </rPh>
    <rPh sb="5" eb="6">
      <t>シキ</t>
    </rPh>
    <rPh sb="8" eb="11">
      <t>ショクジカイ</t>
    </rPh>
    <rPh sb="12" eb="13">
      <t>シン</t>
    </rPh>
    <rPh sb="13" eb="14">
      <t>フ</t>
    </rPh>
    <rPh sb="14" eb="16">
      <t>ニンシン</t>
    </rPh>
    <rPh sb="18" eb="19">
      <t>ゲツ</t>
    </rPh>
    <phoneticPr fontId="4"/>
  </si>
  <si>
    <t>南出　優介</t>
    <rPh sb="0" eb="2">
      <t>ミナミデ</t>
    </rPh>
    <rPh sb="3" eb="5">
      <t>ユウスケ</t>
    </rPh>
    <phoneticPr fontId="4"/>
  </si>
  <si>
    <t>橘　健仁</t>
    <rPh sb="0" eb="1">
      <t>タチバナ</t>
    </rPh>
    <rPh sb="2" eb="3">
      <t>ケン</t>
    </rPh>
    <rPh sb="3" eb="4">
      <t>ジン</t>
    </rPh>
    <phoneticPr fontId="4"/>
  </si>
  <si>
    <t>奥　光輝</t>
    <rPh sb="0" eb="1">
      <t>オク</t>
    </rPh>
    <rPh sb="2" eb="4">
      <t>ミツテル</t>
    </rPh>
    <phoneticPr fontId="4"/>
  </si>
  <si>
    <t>41~45</t>
  </si>
  <si>
    <t>(数井)麻美</t>
    <rPh sb="1" eb="3">
      <t>カズイ</t>
    </rPh>
    <rPh sb="4" eb="6">
      <t>アサミ</t>
    </rPh>
    <phoneticPr fontId="4"/>
  </si>
  <si>
    <t>36~40</t>
  </si>
  <si>
    <t>鍬田　舞華</t>
    <rPh sb="0" eb="2">
      <t>クワダ</t>
    </rPh>
    <rPh sb="3" eb="4">
      <t>マイ</t>
    </rPh>
    <rPh sb="4" eb="5">
      <t>カ</t>
    </rPh>
    <phoneticPr fontId="4"/>
  </si>
  <si>
    <t>61~70</t>
  </si>
  <si>
    <t>~350万円</t>
  </si>
  <si>
    <t>金沢。郎両親が聞こえない。郎が恥ずかしがりなので、食事会</t>
    <rPh sb="0" eb="2">
      <t>カナザワ</t>
    </rPh>
    <rPh sb="3" eb="6">
      <t>ロウリョウシン</t>
    </rPh>
    <rPh sb="7" eb="8">
      <t>キ</t>
    </rPh>
    <rPh sb="13" eb="14">
      <t>ロウ</t>
    </rPh>
    <rPh sb="15" eb="16">
      <t>ハ</t>
    </rPh>
    <rPh sb="25" eb="28">
      <t>ショクジカイ</t>
    </rPh>
    <phoneticPr fontId="4"/>
  </si>
  <si>
    <t>小松の2人。めっちゃお勉強さん。郎の方が熱心。婦が面倒くさがり。だけど2人で頑張ろう！</t>
    <rPh sb="0" eb="2">
      <t>コマツ</t>
    </rPh>
    <rPh sb="4" eb="5">
      <t>ヒト</t>
    </rPh>
    <rPh sb="11" eb="13">
      <t>ベンキョウ</t>
    </rPh>
    <rPh sb="16" eb="17">
      <t>ロウ</t>
    </rPh>
    <rPh sb="18" eb="19">
      <t>ホウ</t>
    </rPh>
    <rPh sb="20" eb="22">
      <t>ネッシン</t>
    </rPh>
    <rPh sb="23" eb="24">
      <t>フ</t>
    </rPh>
    <rPh sb="25" eb="27">
      <t>メンドウ</t>
    </rPh>
    <rPh sb="36" eb="37">
      <t>ヒト</t>
    </rPh>
    <rPh sb="38" eb="40">
      <t>ガンバ</t>
    </rPh>
    <phoneticPr fontId="4"/>
  </si>
  <si>
    <t>小林　義和</t>
    <rPh sb="0" eb="2">
      <t>コバヤシ</t>
    </rPh>
    <rPh sb="3" eb="5">
      <t>ヨシカズ</t>
    </rPh>
    <phoneticPr fontId="4"/>
  </si>
  <si>
    <t>小林　美穂</t>
    <rPh sb="0" eb="2">
      <t>コバヤシ</t>
    </rPh>
    <rPh sb="3" eb="5">
      <t>ミホ</t>
    </rPh>
    <phoneticPr fontId="4"/>
  </si>
  <si>
    <t>棚田　真由</t>
    <rPh sb="0" eb="2">
      <t>タナダ</t>
    </rPh>
    <rPh sb="3" eb="5">
      <t>マユ</t>
    </rPh>
    <phoneticPr fontId="4"/>
  </si>
  <si>
    <t>中川　裕貴</t>
    <rPh sb="0" eb="2">
      <t>ナカガワ</t>
    </rPh>
    <rPh sb="3" eb="5">
      <t>ユウキ</t>
    </rPh>
    <phoneticPr fontId="4"/>
  </si>
  <si>
    <t>41~50</t>
  </si>
  <si>
    <t>3/13再来　試食・控室とトイレチェック</t>
    <rPh sb="4" eb="6">
      <t>サイライ</t>
    </rPh>
    <rPh sb="7" eb="9">
      <t>シショク</t>
    </rPh>
    <rPh sb="10" eb="12">
      <t>ヒカエシツ</t>
    </rPh>
    <phoneticPr fontId="4"/>
  </si>
  <si>
    <t>3/28ヴィーニュに変更</t>
    <rPh sb="10" eb="12">
      <t>ヘンコウ</t>
    </rPh>
    <phoneticPr fontId="4"/>
  </si>
  <si>
    <t>松田　英李香</t>
    <rPh sb="0" eb="2">
      <t>マツダ</t>
    </rPh>
    <rPh sb="3" eb="4">
      <t>エイ</t>
    </rPh>
    <rPh sb="4" eb="5">
      <t>リ</t>
    </rPh>
    <rPh sb="5" eb="6">
      <t>カオル</t>
    </rPh>
    <phoneticPr fontId="4"/>
  </si>
  <si>
    <t>~10</t>
  </si>
  <si>
    <t>1件目</t>
    <phoneticPr fontId="4"/>
  </si>
  <si>
    <t>新郎能美、新婦金沢。親族のみ+お食事会　お子さん1歳あおいちゃん</t>
    <rPh sb="0" eb="2">
      <t>シンロウ</t>
    </rPh>
    <rPh sb="2" eb="4">
      <t>ノミ</t>
    </rPh>
    <rPh sb="5" eb="7">
      <t>シンプ</t>
    </rPh>
    <rPh sb="7" eb="9">
      <t>カナザワ</t>
    </rPh>
    <rPh sb="10" eb="12">
      <t>シンゾク</t>
    </rPh>
    <rPh sb="16" eb="19">
      <t>ショクジカイ</t>
    </rPh>
    <rPh sb="21" eb="22">
      <t>コ</t>
    </rPh>
    <rPh sb="25" eb="26">
      <t>サイ</t>
    </rPh>
    <phoneticPr fontId="4"/>
  </si>
  <si>
    <t>米澤　裕佳</t>
    <rPh sb="0" eb="2">
      <t>ヨネザワ</t>
    </rPh>
    <rPh sb="3" eb="4">
      <t>ヒロ</t>
    </rPh>
    <rPh sb="4" eb="5">
      <t>カ</t>
    </rPh>
    <phoneticPr fontId="4"/>
  </si>
  <si>
    <t>少人数フェア</t>
    <rPh sb="0" eb="3">
      <t>ショウニンズウ</t>
    </rPh>
    <phoneticPr fontId="4"/>
  </si>
  <si>
    <t>相談フェア</t>
    <rPh sb="0" eb="2">
      <t>ソウダn</t>
    </rPh>
    <phoneticPr fontId="4"/>
  </si>
  <si>
    <t>スイーツフェア</t>
  </si>
  <si>
    <t>パパママフェア</t>
    <phoneticPr fontId="4"/>
  </si>
  <si>
    <t>牧畠　亮太</t>
    <rPh sb="0" eb="2">
      <t>マキバタケ</t>
    </rPh>
    <rPh sb="3" eb="5">
      <t>リョウタ</t>
    </rPh>
    <phoneticPr fontId="4"/>
  </si>
  <si>
    <t>米澤元希</t>
    <rPh sb="0" eb="2">
      <t>ヨネザワ</t>
    </rPh>
    <rPh sb="2" eb="3">
      <t>モト</t>
    </rPh>
    <rPh sb="3" eb="4">
      <t>キ</t>
    </rPh>
    <phoneticPr fontId="4"/>
  </si>
  <si>
    <t>挙式+写真タイム　ガーデン使用希望</t>
    <rPh sb="0" eb="2">
      <t>キョシキ</t>
    </rPh>
    <rPh sb="3" eb="5">
      <t>シャシン</t>
    </rPh>
    <rPh sb="13" eb="15">
      <t>シヨウ</t>
    </rPh>
    <rPh sb="15" eb="17">
      <t>キボウ</t>
    </rPh>
    <phoneticPr fontId="4"/>
  </si>
  <si>
    <t>森　幸輝</t>
    <rPh sb="0" eb="1">
      <t>モリ</t>
    </rPh>
    <rPh sb="2" eb="3">
      <t>ユキ</t>
    </rPh>
    <rPh sb="3" eb="4">
      <t>テル</t>
    </rPh>
    <phoneticPr fontId="4"/>
  </si>
  <si>
    <t>森　香菜惠</t>
    <rPh sb="0" eb="1">
      <t>モリ</t>
    </rPh>
    <rPh sb="2" eb="5">
      <t>カオルナエ</t>
    </rPh>
    <phoneticPr fontId="4"/>
  </si>
  <si>
    <t>金沢在住。お勉強さん。来年も検討範囲。郎親の希望で式＋会食。婦の希望で写真(洋＋和)。を希望</t>
    <rPh sb="0" eb="4">
      <t>カナザワザイジュウ</t>
    </rPh>
    <rPh sb="6" eb="8">
      <t>ベンキョウ</t>
    </rPh>
    <rPh sb="11" eb="13">
      <t>ライネン</t>
    </rPh>
    <rPh sb="14" eb="16">
      <t>ケントウ</t>
    </rPh>
    <rPh sb="16" eb="18">
      <t>ハンイ</t>
    </rPh>
    <rPh sb="19" eb="21">
      <t>ロウオヤ</t>
    </rPh>
    <rPh sb="22" eb="24">
      <t>キボウ</t>
    </rPh>
    <rPh sb="25" eb="27">
      <t>シキタス</t>
    </rPh>
    <rPh sb="27" eb="29">
      <t>カイショク</t>
    </rPh>
    <rPh sb="30" eb="31">
      <t>フ</t>
    </rPh>
    <rPh sb="32" eb="34">
      <t>キボウ</t>
    </rPh>
    <rPh sb="35" eb="37">
      <t>シャシン</t>
    </rPh>
    <rPh sb="38" eb="39">
      <t>ヨウ</t>
    </rPh>
    <rPh sb="40" eb="41">
      <t>ワ</t>
    </rPh>
    <rPh sb="44" eb="46">
      <t>キボウ</t>
    </rPh>
    <phoneticPr fontId="4"/>
  </si>
  <si>
    <t>2月に資料請求している。小矢部の2人。郎市議。今年7月に選挙。来年のぶどうが良いころにしたい。アンケートと会場案内のみ</t>
    <rPh sb="1" eb="2">
      <t>ガツ</t>
    </rPh>
    <rPh sb="3" eb="7">
      <t>シリョウセイキュウ</t>
    </rPh>
    <rPh sb="12" eb="15">
      <t>オヤベ</t>
    </rPh>
    <rPh sb="17" eb="18">
      <t>ヒト</t>
    </rPh>
    <rPh sb="19" eb="22">
      <t>ロウシギ</t>
    </rPh>
    <rPh sb="23" eb="25">
      <t>コトシ</t>
    </rPh>
    <rPh sb="26" eb="27">
      <t>ガツ</t>
    </rPh>
    <rPh sb="28" eb="30">
      <t>センキョ</t>
    </rPh>
    <rPh sb="31" eb="33">
      <t>ライネン</t>
    </rPh>
    <rPh sb="38" eb="39">
      <t>ヨ</t>
    </rPh>
    <rPh sb="53" eb="57">
      <t>カイジョウアンナイ</t>
    </rPh>
    <phoneticPr fontId="4"/>
  </si>
  <si>
    <t>住所届かず戻ってきた。連絡しても折り返しなし</t>
    <rPh sb="0" eb="2">
      <t>ジュウショ</t>
    </rPh>
    <rPh sb="2" eb="3">
      <t>トド</t>
    </rPh>
    <rPh sb="5" eb="6">
      <t>モド</t>
    </rPh>
    <rPh sb="11" eb="13">
      <t>レンラク</t>
    </rPh>
    <rPh sb="16" eb="17">
      <t>オ</t>
    </rPh>
    <rPh sb="18" eb="19">
      <t>カエ</t>
    </rPh>
    <phoneticPr fontId="4"/>
  </si>
  <si>
    <t>中　大河</t>
    <rPh sb="0" eb="1">
      <t>ナカ</t>
    </rPh>
    <rPh sb="2" eb="4">
      <t>タイガ</t>
    </rPh>
    <phoneticPr fontId="4"/>
  </si>
  <si>
    <t>松野玲実</t>
    <rPh sb="0" eb="2">
      <t>マツノ</t>
    </rPh>
    <rPh sb="2" eb="3">
      <t>レイ</t>
    </rPh>
    <rPh sb="3" eb="4">
      <t>ミノル</t>
    </rPh>
    <phoneticPr fontId="4"/>
  </si>
  <si>
    <t>赤松 未蘭</t>
  </si>
  <si>
    <t>藤井　年也</t>
    <rPh sb="0" eb="2">
      <t>フジイ</t>
    </rPh>
    <rPh sb="3" eb="4">
      <t>トシ</t>
    </rPh>
    <rPh sb="4" eb="5">
      <t>ヤ</t>
    </rPh>
    <phoneticPr fontId="4"/>
  </si>
  <si>
    <t>田邊 姫出海</t>
    <rPh sb="0" eb="2">
      <t>タナベ</t>
    </rPh>
    <rPh sb="3" eb="4">
      <t>ヒメ</t>
    </rPh>
    <rPh sb="4" eb="5">
      <t>デ</t>
    </rPh>
    <rPh sb="5" eb="6">
      <t>ウミ</t>
    </rPh>
    <phoneticPr fontId="4"/>
  </si>
  <si>
    <t>46~50</t>
  </si>
  <si>
    <t>村松　紗衣</t>
    <rPh sb="0" eb="2">
      <t>ムラマツ</t>
    </rPh>
    <rPh sb="3" eb="5">
      <t>サエ</t>
    </rPh>
    <phoneticPr fontId="4"/>
  </si>
  <si>
    <t>赤松雅也</t>
    <rPh sb="0" eb="2">
      <t>アカマツ</t>
    </rPh>
    <rPh sb="2" eb="4">
      <t>マサヤ</t>
    </rPh>
    <phoneticPr fontId="4"/>
  </si>
  <si>
    <t>名古屋在住　予算重視　グローブのほうが安い</t>
    <rPh sb="0" eb="3">
      <t>ナゴヤ</t>
    </rPh>
    <rPh sb="3" eb="5">
      <t>ザイジュウ</t>
    </rPh>
    <rPh sb="6" eb="10">
      <t>ヨサンジュウシ</t>
    </rPh>
    <rPh sb="19" eb="20">
      <t>ヤス</t>
    </rPh>
    <phoneticPr fontId="4"/>
  </si>
  <si>
    <t>4/6キャンセルのTELあり。七尾市実家。郎婦・婦母・婦祖母・あさい様の5人で来館。あえの風でも検討。美容室(アラモード)あさい様からのご紹介</t>
    <rPh sb="15" eb="18">
      <t>ナナオシ</t>
    </rPh>
    <rPh sb="18" eb="20">
      <t>ジッカ</t>
    </rPh>
    <rPh sb="21" eb="23">
      <t>ロウフ</t>
    </rPh>
    <rPh sb="24" eb="25">
      <t>フ</t>
    </rPh>
    <rPh sb="25" eb="26">
      <t>ハハ</t>
    </rPh>
    <rPh sb="27" eb="30">
      <t>フソボ</t>
    </rPh>
    <rPh sb="34" eb="35">
      <t>サマ</t>
    </rPh>
    <rPh sb="37" eb="38">
      <t>ニン</t>
    </rPh>
    <rPh sb="39" eb="41">
      <t>ライカン</t>
    </rPh>
    <rPh sb="45" eb="46">
      <t>カゼ</t>
    </rPh>
    <rPh sb="48" eb="50">
      <t>ケントウ</t>
    </rPh>
    <rPh sb="51" eb="54">
      <t>ビヨウシツ</t>
    </rPh>
    <rPh sb="64" eb="65">
      <t>サマ</t>
    </rPh>
    <rPh sb="69" eb="71">
      <t>ショウカイ</t>
    </rPh>
    <phoneticPr fontId="4"/>
  </si>
  <si>
    <t>~50万円</t>
  </si>
  <si>
    <t>髙　祐弥</t>
    <rPh sb="0" eb="1">
      <t>タカ</t>
    </rPh>
    <rPh sb="2" eb="3">
      <t>ユウ</t>
    </rPh>
    <rPh sb="3" eb="4">
      <t>ヤ</t>
    </rPh>
    <phoneticPr fontId="4"/>
  </si>
  <si>
    <t>髙　亜由美</t>
    <rPh sb="0" eb="1">
      <t>タカ</t>
    </rPh>
    <rPh sb="2" eb="5">
      <t>アユミ</t>
    </rPh>
    <phoneticPr fontId="4"/>
  </si>
  <si>
    <t>大島　肇</t>
    <rPh sb="0" eb="2">
      <t>オオシマ</t>
    </rPh>
    <rPh sb="3" eb="4">
      <t>ハジメ</t>
    </rPh>
    <phoneticPr fontId="4"/>
  </si>
  <si>
    <t>2人とも50代。新潟から。今は事情により出来ないけど何かのきっかけになれば…。という想いで新婦から予約。カフェ食事して会場案内のみ。</t>
    <rPh sb="1" eb="2">
      <t>ヒト</t>
    </rPh>
    <rPh sb="6" eb="7">
      <t>ダイ</t>
    </rPh>
    <rPh sb="8" eb="10">
      <t>ニイガタ</t>
    </rPh>
    <rPh sb="13" eb="14">
      <t>イマ</t>
    </rPh>
    <rPh sb="15" eb="17">
      <t>ジジョウ</t>
    </rPh>
    <rPh sb="20" eb="22">
      <t>デキ</t>
    </rPh>
    <rPh sb="26" eb="27">
      <t>ナニ</t>
    </rPh>
    <rPh sb="42" eb="43">
      <t>オモ</t>
    </rPh>
    <rPh sb="45" eb="47">
      <t>シンプ</t>
    </rPh>
    <rPh sb="49" eb="51">
      <t>ヨヤク</t>
    </rPh>
    <rPh sb="55" eb="57">
      <t>ショクジ</t>
    </rPh>
    <rPh sb="59" eb="63">
      <t>カイジョウアンナイ</t>
    </rPh>
    <phoneticPr fontId="4"/>
  </si>
  <si>
    <t>児玉　咲子</t>
    <rPh sb="0" eb="2">
      <t>コダマ</t>
    </rPh>
    <rPh sb="3" eb="5">
      <t>サキコ</t>
    </rPh>
    <phoneticPr fontId="4"/>
  </si>
  <si>
    <t>藤井　由香</t>
    <rPh sb="0" eb="2">
      <t>フジイ</t>
    </rPh>
    <rPh sb="3" eb="5">
      <t>ユカ</t>
    </rPh>
    <phoneticPr fontId="4"/>
  </si>
  <si>
    <t>アマンダン。郎神奈川、婦栃木。家族のみ。流し卓で会食。警戒してた。会場案内はなっち。</t>
    <rPh sb="6" eb="7">
      <t>ロウ</t>
    </rPh>
    <rPh sb="7" eb="10">
      <t>カナガワ</t>
    </rPh>
    <rPh sb="11" eb="12">
      <t>フ</t>
    </rPh>
    <rPh sb="12" eb="14">
      <t>トチギ</t>
    </rPh>
    <rPh sb="15" eb="17">
      <t>カゾク</t>
    </rPh>
    <rPh sb="20" eb="21">
      <t>ナガ</t>
    </rPh>
    <rPh sb="22" eb="23">
      <t>タク</t>
    </rPh>
    <rPh sb="24" eb="26">
      <t>カイショク</t>
    </rPh>
    <rPh sb="27" eb="29">
      <t>ケイカイ</t>
    </rPh>
    <rPh sb="33" eb="37">
      <t>カイジョウアンナイ</t>
    </rPh>
    <phoneticPr fontId="4"/>
  </si>
  <si>
    <t>兼定　大悟</t>
    <rPh sb="0" eb="2">
      <t>カネサダ</t>
    </rPh>
    <rPh sb="3" eb="5">
      <t>ダイゴ</t>
    </rPh>
    <phoneticPr fontId="4"/>
  </si>
  <si>
    <t>諏訪秀昌</t>
    <rPh sb="0" eb="2">
      <t>スワ</t>
    </rPh>
    <rPh sb="2" eb="3">
      <t>ヒデ</t>
    </rPh>
    <rPh sb="3" eb="4">
      <t>マサ</t>
    </rPh>
    <phoneticPr fontId="4"/>
  </si>
  <si>
    <t>諏訪麻依</t>
    <rPh sb="0" eb="2">
      <t>スワ</t>
    </rPh>
    <rPh sb="2" eb="3">
      <t>アサ</t>
    </rPh>
    <rPh sb="3" eb="4">
      <t>イ</t>
    </rPh>
    <phoneticPr fontId="4"/>
  </si>
  <si>
    <t>林　桃子</t>
    <rPh sb="0" eb="1">
      <t>ハヤシ</t>
    </rPh>
    <rPh sb="2" eb="4">
      <t>モモコ</t>
    </rPh>
    <phoneticPr fontId="4"/>
  </si>
  <si>
    <t>石井　祐太</t>
    <rPh sb="0" eb="2">
      <t>イシイ</t>
    </rPh>
    <rPh sb="3" eb="5">
      <t>ユウタ</t>
    </rPh>
    <phoneticPr fontId="4"/>
  </si>
  <si>
    <t>石井　美薫</t>
    <rPh sb="0" eb="2">
      <t>イシイ</t>
    </rPh>
    <rPh sb="3" eb="4">
      <t>ミ</t>
    </rPh>
    <rPh sb="4" eb="5">
      <t>カオル</t>
    </rPh>
    <phoneticPr fontId="4"/>
  </si>
  <si>
    <t>新井 紳也</t>
    <rPh sb="0" eb="2">
      <t>アライ</t>
    </rPh>
    <rPh sb="3" eb="5">
      <t>シンヤ</t>
    </rPh>
    <phoneticPr fontId="4"/>
  </si>
  <si>
    <t>堀　晴香</t>
    <rPh sb="0" eb="1">
      <t>ホリ</t>
    </rPh>
    <rPh sb="2" eb="4">
      <t>ハルカ</t>
    </rPh>
    <phoneticPr fontId="4"/>
  </si>
  <si>
    <t>51~60</t>
  </si>
  <si>
    <t>4/14他決TELあり(きっと辻家)／新郎が新婦のドレス姿を見たい。新婦は新郎と家族に言われるから。列席経験なし。</t>
    <rPh sb="4" eb="6">
      <t>タケツ</t>
    </rPh>
    <rPh sb="15" eb="17">
      <t>ツジケ</t>
    </rPh>
    <rPh sb="19" eb="21">
      <t>シンロウ</t>
    </rPh>
    <rPh sb="22" eb="24">
      <t>シンプ</t>
    </rPh>
    <rPh sb="28" eb="29">
      <t>スガタ</t>
    </rPh>
    <rPh sb="30" eb="31">
      <t>ミ</t>
    </rPh>
    <rPh sb="34" eb="36">
      <t>シンプ</t>
    </rPh>
    <rPh sb="37" eb="39">
      <t>シンロウ</t>
    </rPh>
    <rPh sb="40" eb="42">
      <t>カゾク</t>
    </rPh>
    <rPh sb="43" eb="44">
      <t>イ</t>
    </rPh>
    <rPh sb="50" eb="52">
      <t>レッセキ</t>
    </rPh>
    <rPh sb="52" eb="54">
      <t>ケイケン</t>
    </rPh>
    <phoneticPr fontId="4"/>
  </si>
  <si>
    <t>4/16延期(７月→１０月へ)</t>
    <rPh sb="4" eb="6">
      <t>エンキ</t>
    </rPh>
    <rPh sb="8" eb="9">
      <t>ガツ</t>
    </rPh>
    <rPh sb="12" eb="13">
      <t>ガツ</t>
    </rPh>
    <phoneticPr fontId="4"/>
  </si>
  <si>
    <t>西川　英雄</t>
    <rPh sb="0" eb="2">
      <t>ニシカワ</t>
    </rPh>
    <rPh sb="3" eb="5">
      <t>ヒデオ</t>
    </rPh>
    <phoneticPr fontId="4"/>
  </si>
  <si>
    <t>アーククラブ迎賓館</t>
  </si>
  <si>
    <t>郎白山、婦津幡。派手にしたくない。</t>
    <rPh sb="0" eb="1">
      <t>ロウ</t>
    </rPh>
    <rPh sb="1" eb="3">
      <t>ハクサン</t>
    </rPh>
    <rPh sb="4" eb="5">
      <t>フ</t>
    </rPh>
    <rPh sb="5" eb="7">
      <t>ツバタ</t>
    </rPh>
    <rPh sb="8" eb="10">
      <t>ハデ</t>
    </rPh>
    <phoneticPr fontId="4"/>
  </si>
  <si>
    <t>木田　将太</t>
    <rPh sb="0" eb="2">
      <t>キダ</t>
    </rPh>
    <rPh sb="3" eb="5">
      <t>ショウタ</t>
    </rPh>
    <phoneticPr fontId="4"/>
  </si>
  <si>
    <t>4件目以上</t>
  </si>
  <si>
    <t>LINEも登録済み　新郎加賀　新婦小矢部　親族のみ式+会食　沢山会場見学をされている　予算重視 カフェのごはんにも大満足　　</t>
    <rPh sb="5" eb="8">
      <t>トウロクズ</t>
    </rPh>
    <rPh sb="10" eb="12">
      <t>シンロウ</t>
    </rPh>
    <rPh sb="12" eb="14">
      <t>カガ</t>
    </rPh>
    <rPh sb="15" eb="17">
      <t>シンプ</t>
    </rPh>
    <rPh sb="17" eb="20">
      <t>オヤベ</t>
    </rPh>
    <rPh sb="21" eb="23">
      <t>シンゾク</t>
    </rPh>
    <rPh sb="25" eb="26">
      <t>シキ</t>
    </rPh>
    <rPh sb="27" eb="29">
      <t>カイショク</t>
    </rPh>
    <rPh sb="30" eb="36">
      <t>タクサンカイジョウケンガク</t>
    </rPh>
    <rPh sb="43" eb="47">
      <t>ヨサンジュウシ</t>
    </rPh>
    <rPh sb="57" eb="60">
      <t>ダイマンゾク</t>
    </rPh>
    <phoneticPr fontId="4"/>
  </si>
  <si>
    <t>吉田　一寿</t>
    <rPh sb="0" eb="2">
      <t>ヨシダ</t>
    </rPh>
    <rPh sb="3" eb="4">
      <t>カズ</t>
    </rPh>
    <rPh sb="4" eb="5">
      <t>コトブキ</t>
    </rPh>
    <phoneticPr fontId="4"/>
  </si>
  <si>
    <t>宮下　絵里奈</t>
    <rPh sb="0" eb="2">
      <t>ミヤシタ</t>
    </rPh>
    <rPh sb="3" eb="6">
      <t>エリナ</t>
    </rPh>
    <phoneticPr fontId="4"/>
  </si>
  <si>
    <t>ラヴィーファクトリー福本さんご紹介　2歳半・4か月のお子さんいらっしゃる　予算重視</t>
    <rPh sb="10" eb="12">
      <t>フクモト</t>
    </rPh>
    <rPh sb="15" eb="17">
      <t>ショウカイ</t>
    </rPh>
    <rPh sb="19" eb="21">
      <t>サイハン</t>
    </rPh>
    <rPh sb="24" eb="25">
      <t>ゲツ</t>
    </rPh>
    <rPh sb="27" eb="28">
      <t>コ</t>
    </rPh>
    <rPh sb="37" eb="41">
      <t>ヨサンジュウシ</t>
    </rPh>
    <phoneticPr fontId="4"/>
  </si>
  <si>
    <t>フォトのみ</t>
  </si>
  <si>
    <t>コンテンツのリーチ（投稿＋リール動画＋ストーリーズ）</t>
    <rPh sb="10" eb="12">
      <t>トウコウ</t>
    </rPh>
    <phoneticPr fontId="4"/>
  </si>
  <si>
    <t>エンゲージメント率（インタラクション数/コンテンツのリーチ）</t>
    <rPh sb="8" eb="9">
      <t xml:space="preserve">リツ </t>
    </rPh>
    <phoneticPr fontId="4"/>
  </si>
  <si>
    <t>フォロー率（フォロー数/コンテンツのリーチ）</t>
    <phoneticPr fontId="4"/>
  </si>
  <si>
    <t>きむら あきと</t>
    <phoneticPr fontId="4"/>
  </si>
  <si>
    <t>きむら えり</t>
    <phoneticPr fontId="4"/>
  </si>
  <si>
    <t>郎祖母(ぶどうの木ご近所さん)からフォト婚で予約。会食付き。</t>
    <rPh sb="0" eb="3">
      <t>ロウソボ</t>
    </rPh>
    <rPh sb="8" eb="9">
      <t>キ</t>
    </rPh>
    <rPh sb="10" eb="12">
      <t>キンジョ</t>
    </rPh>
    <rPh sb="20" eb="21">
      <t>コン</t>
    </rPh>
    <rPh sb="22" eb="24">
      <t>ヨヤク</t>
    </rPh>
    <rPh sb="25" eb="28">
      <t>カイショクツ</t>
    </rPh>
    <phoneticPr fontId="4"/>
  </si>
  <si>
    <t>キャンセル</t>
  </si>
  <si>
    <t>4/3に再来。親同士がもめていることを知る。時間がかかりそうなので郎親を諦めて婦親＆友人へのお披露目を検討している。/ 今年秋に軽井沢で親族施行後、友人のみの1.5次会を検討→4/25再来。恩道さん担当。友人のみの1.5次会で9/3で決定。</t>
    <rPh sb="4" eb="6">
      <t>サイライ</t>
    </rPh>
    <rPh sb="7" eb="10">
      <t>オヤドウシ</t>
    </rPh>
    <rPh sb="19" eb="20">
      <t>シ</t>
    </rPh>
    <rPh sb="22" eb="24">
      <t>ジカン</t>
    </rPh>
    <rPh sb="33" eb="35">
      <t>ロウオヤ</t>
    </rPh>
    <rPh sb="36" eb="37">
      <t>アキラ</t>
    </rPh>
    <rPh sb="39" eb="41">
      <t>フオヤ</t>
    </rPh>
    <rPh sb="42" eb="44">
      <t>ユウジン</t>
    </rPh>
    <rPh sb="47" eb="50">
      <t>ヒロメ</t>
    </rPh>
    <rPh sb="51" eb="53">
      <t>ケントウ</t>
    </rPh>
    <rPh sb="60" eb="62">
      <t>コトシ</t>
    </rPh>
    <rPh sb="62" eb="63">
      <t>アキ</t>
    </rPh>
    <rPh sb="64" eb="67">
      <t>カルイザワ</t>
    </rPh>
    <rPh sb="68" eb="70">
      <t>シンゾク</t>
    </rPh>
    <rPh sb="70" eb="72">
      <t>セコウ</t>
    </rPh>
    <rPh sb="72" eb="73">
      <t>ゴ</t>
    </rPh>
    <rPh sb="74" eb="76">
      <t>ユウジン</t>
    </rPh>
    <rPh sb="82" eb="84">
      <t>ジカイ</t>
    </rPh>
    <rPh sb="85" eb="87">
      <t>ケントウ</t>
    </rPh>
    <rPh sb="92" eb="94">
      <t>サイライ</t>
    </rPh>
    <rPh sb="95" eb="97">
      <t>オンドウ</t>
    </rPh>
    <rPh sb="99" eb="101">
      <t>タントウ</t>
    </rPh>
    <rPh sb="102" eb="104">
      <t>ユウジン</t>
    </rPh>
    <rPh sb="110" eb="112">
      <t>ジカイ</t>
    </rPh>
    <rPh sb="117" eb="119">
      <t>ケッテイ</t>
    </rPh>
    <phoneticPr fontId="4"/>
  </si>
  <si>
    <t>山田　公一</t>
    <rPh sb="0" eb="2">
      <t>ヤマダ</t>
    </rPh>
    <rPh sb="3" eb="5">
      <t>コウイチ</t>
    </rPh>
    <phoneticPr fontId="4"/>
  </si>
  <si>
    <t>山田　知奈</t>
    <rPh sb="0" eb="2">
      <t>ヤマダ</t>
    </rPh>
    <rPh sb="3" eb="4">
      <t>シ</t>
    </rPh>
    <rPh sb="4" eb="5">
      <t>ナ</t>
    </rPh>
    <phoneticPr fontId="4"/>
  </si>
  <si>
    <t>~300万円</t>
  </si>
  <si>
    <t>レストランWを見学したかった。ロビーで式は苦手かも。</t>
    <rPh sb="7" eb="9">
      <t>ケンガク</t>
    </rPh>
    <rPh sb="19" eb="20">
      <t>シキ</t>
    </rPh>
    <rPh sb="21" eb="23">
      <t>ニガテ</t>
    </rPh>
    <phoneticPr fontId="4"/>
  </si>
  <si>
    <t>桶谷　和真</t>
    <rPh sb="0" eb="2">
      <t>オケタニ</t>
    </rPh>
    <rPh sb="3" eb="5">
      <t>カズマ</t>
    </rPh>
    <phoneticPr fontId="4"/>
  </si>
  <si>
    <t>本間　美香</t>
    <rPh sb="0" eb="2">
      <t>ホンマ</t>
    </rPh>
    <rPh sb="3" eb="5">
      <t>ミカ</t>
    </rPh>
    <phoneticPr fontId="4"/>
  </si>
  <si>
    <t>71~80</t>
  </si>
  <si>
    <t>新郎津幡　新婦宮城出身　自然光溢れる会場が希望　</t>
    <rPh sb="0" eb="2">
      <t>シンロウ</t>
    </rPh>
    <rPh sb="2" eb="4">
      <t>ツバタ</t>
    </rPh>
    <rPh sb="5" eb="7">
      <t>シンプ</t>
    </rPh>
    <rPh sb="7" eb="9">
      <t>ミヤギ</t>
    </rPh>
    <rPh sb="9" eb="11">
      <t>シュッシン</t>
    </rPh>
    <rPh sb="12" eb="15">
      <t>シゼンコウ</t>
    </rPh>
    <rPh sb="15" eb="16">
      <t>アフ</t>
    </rPh>
    <rPh sb="18" eb="20">
      <t>カイジョウ</t>
    </rPh>
    <rPh sb="21" eb="23">
      <t>キボウ</t>
    </rPh>
    <phoneticPr fontId="4"/>
  </si>
  <si>
    <t>角花　涼輔</t>
    <rPh sb="0" eb="2">
      <t>カクハナ</t>
    </rPh>
    <phoneticPr fontId="4"/>
  </si>
  <si>
    <t>山澤勇斗</t>
    <rPh sb="0" eb="2">
      <t>ヤマザワ</t>
    </rPh>
    <rPh sb="2" eb="3">
      <t>イサム</t>
    </rPh>
    <rPh sb="3" eb="4">
      <t>ト</t>
    </rPh>
    <phoneticPr fontId="4"/>
  </si>
  <si>
    <t>山澤凪紗</t>
    <rPh sb="0" eb="2">
      <t>ヤマザワ</t>
    </rPh>
    <rPh sb="2" eb="3">
      <t>ナギ</t>
    </rPh>
    <rPh sb="3" eb="4">
      <t>サ</t>
    </rPh>
    <phoneticPr fontId="4"/>
  </si>
  <si>
    <t>ポール・ボキューズ</t>
  </si>
  <si>
    <t>8か月のお子様連れ　安くなるなら全て持込にしたい</t>
    <rPh sb="2" eb="3">
      <t>ゲツ</t>
    </rPh>
    <rPh sb="5" eb="7">
      <t>コサマ</t>
    </rPh>
    <rPh sb="7" eb="8">
      <t>ツ</t>
    </rPh>
    <rPh sb="10" eb="11">
      <t>ヤス</t>
    </rPh>
    <rPh sb="16" eb="17">
      <t>スベ</t>
    </rPh>
    <rPh sb="18" eb="20">
      <t>モチコミ</t>
    </rPh>
    <phoneticPr fontId="4"/>
  </si>
  <si>
    <t>婚礼カウントする！バンケ扱いにて予約あり　資料請求時質問あり/電話済み/新郎姉(10年前施行)　3/18新婦、郎姉、郎母の3人と赤ちゃん2人で来館。挙式はしたくないけど写真は残したい。食事会はラフに。デザートビュッフェしたい。ｷｯｽﾞｽﾍﾟｰｽ必須。</t>
    <rPh sb="0" eb="2">
      <t>コンレイ</t>
    </rPh>
    <rPh sb="12" eb="13">
      <t>アツカ</t>
    </rPh>
    <rPh sb="16" eb="18">
      <t>ヨヤク</t>
    </rPh>
    <rPh sb="21" eb="26">
      <t>シリョウセイキュウジ</t>
    </rPh>
    <rPh sb="26" eb="28">
      <t>シツモン</t>
    </rPh>
    <rPh sb="31" eb="33">
      <t>デンワ</t>
    </rPh>
    <rPh sb="33" eb="34">
      <t>ズ</t>
    </rPh>
    <rPh sb="36" eb="38">
      <t>シンロウ</t>
    </rPh>
    <rPh sb="38" eb="39">
      <t>アネ</t>
    </rPh>
    <rPh sb="42" eb="44">
      <t>ネンマエ</t>
    </rPh>
    <rPh sb="44" eb="46">
      <t>セコウ</t>
    </rPh>
    <rPh sb="52" eb="54">
      <t>シンプ</t>
    </rPh>
    <rPh sb="55" eb="57">
      <t>ロウアネ</t>
    </rPh>
    <rPh sb="58" eb="60">
      <t>ロウハハ</t>
    </rPh>
    <rPh sb="62" eb="63">
      <t>ニン</t>
    </rPh>
    <rPh sb="64" eb="65">
      <t>アカ</t>
    </rPh>
    <rPh sb="69" eb="70">
      <t>ヒト</t>
    </rPh>
    <rPh sb="71" eb="73">
      <t>ライカン</t>
    </rPh>
    <rPh sb="74" eb="76">
      <t>キョシキ</t>
    </rPh>
    <rPh sb="84" eb="86">
      <t>シャシン</t>
    </rPh>
    <rPh sb="87" eb="88">
      <t>ノコ</t>
    </rPh>
    <rPh sb="92" eb="95">
      <t>ショクジカイ</t>
    </rPh>
    <rPh sb="122" eb="124">
      <t>ヒッス</t>
    </rPh>
    <phoneticPr fontId="4"/>
  </si>
  <si>
    <t>山口飛雄華</t>
    <rPh sb="0" eb="2">
      <t>ヤマグチ</t>
    </rPh>
    <rPh sb="2" eb="3">
      <t>ト</t>
    </rPh>
    <rPh sb="3" eb="4">
      <t>オス</t>
    </rPh>
    <rPh sb="4" eb="5">
      <t>ハナ</t>
    </rPh>
    <phoneticPr fontId="4"/>
  </si>
  <si>
    <t>松本　好永</t>
    <rPh sb="0" eb="2">
      <t>マツモト</t>
    </rPh>
    <rPh sb="3" eb="4">
      <t>ス</t>
    </rPh>
    <rPh sb="4" eb="5">
      <t>エイ</t>
    </rPh>
    <phoneticPr fontId="4"/>
  </si>
  <si>
    <t>アマンダン・ヴィラ</t>
  </si>
  <si>
    <t>岡田　一世</t>
    <rPh sb="0" eb="2">
      <t>オカダ</t>
    </rPh>
    <rPh sb="3" eb="5">
      <t>イッセ</t>
    </rPh>
    <phoneticPr fontId="4"/>
  </si>
  <si>
    <t>お子様当日1歳　新婦がﾂｱｰｼｽﾃﾑさんお勤め　社長と知り合い　</t>
    <rPh sb="1" eb="3">
      <t>コサマ</t>
    </rPh>
    <rPh sb="3" eb="5">
      <t>トウジツ</t>
    </rPh>
    <rPh sb="6" eb="7">
      <t>サイ</t>
    </rPh>
    <rPh sb="8" eb="10">
      <t>シンプ</t>
    </rPh>
    <rPh sb="21" eb="22">
      <t>ツト</t>
    </rPh>
    <rPh sb="24" eb="26">
      <t>シャチョウ</t>
    </rPh>
    <rPh sb="27" eb="28">
      <t>シ</t>
    </rPh>
    <rPh sb="29" eb="30">
      <t>ア</t>
    </rPh>
    <phoneticPr fontId="4"/>
  </si>
  <si>
    <t>𠮷澤　雄次朗</t>
    <rPh sb="0" eb="3">
      <t>ヨシザワ</t>
    </rPh>
    <rPh sb="4" eb="5">
      <t>オス</t>
    </rPh>
    <rPh sb="5" eb="7">
      <t>ジロウ</t>
    </rPh>
    <phoneticPr fontId="4"/>
  </si>
  <si>
    <t>長谷川　彩花</t>
    <rPh sb="0" eb="3">
      <t>ハセガワ</t>
    </rPh>
    <rPh sb="4" eb="5">
      <t>アヤ</t>
    </rPh>
    <rPh sb="5" eb="6">
      <t>ハナ</t>
    </rPh>
    <phoneticPr fontId="4"/>
  </si>
  <si>
    <t>藤田　拓也</t>
    <rPh sb="0" eb="2">
      <t>フジタ</t>
    </rPh>
    <rPh sb="3" eb="5">
      <t>タクヤ</t>
    </rPh>
    <phoneticPr fontId="4"/>
  </si>
  <si>
    <t>ネット検索で知った</t>
    <rPh sb="3" eb="5">
      <t>ケンサク</t>
    </rPh>
    <rPh sb="6" eb="7">
      <t>シ</t>
    </rPh>
    <phoneticPr fontId="4"/>
  </si>
  <si>
    <t>廣村翔吾</t>
    <rPh sb="0" eb="2">
      <t>ヒロムラ</t>
    </rPh>
    <rPh sb="2" eb="3">
      <t>ショウ</t>
    </rPh>
    <rPh sb="3" eb="4">
      <t>ゴ</t>
    </rPh>
    <phoneticPr fontId="4"/>
  </si>
  <si>
    <t>星川美穂</t>
    <rPh sb="0" eb="2">
      <t>ホシカワ</t>
    </rPh>
    <rPh sb="2" eb="4">
      <t>ミホ</t>
    </rPh>
    <phoneticPr fontId="4"/>
  </si>
  <si>
    <t>妊娠発覚！2022/5/16→2023/5/22に延期　4/7撮影場所と見積もり確認。希望額が30万円だったので保留。/以前電話で問い合わせあり　写真撮り希望→4/10二人で再来館5/16で仮予約　婦が延期のこと気にしてた</t>
    <rPh sb="0" eb="2">
      <t>ニンシン</t>
    </rPh>
    <rPh sb="2" eb="4">
      <t>ハッカク</t>
    </rPh>
    <rPh sb="25" eb="27">
      <t>エンキ</t>
    </rPh>
    <rPh sb="31" eb="33">
      <t>サツエイ</t>
    </rPh>
    <rPh sb="33" eb="35">
      <t>バショ</t>
    </rPh>
    <rPh sb="36" eb="38">
      <t>ミツ</t>
    </rPh>
    <rPh sb="40" eb="42">
      <t>カクニン</t>
    </rPh>
    <rPh sb="43" eb="46">
      <t>キボウガク</t>
    </rPh>
    <rPh sb="49" eb="51">
      <t>マンエン</t>
    </rPh>
    <rPh sb="56" eb="58">
      <t>ホリュウ</t>
    </rPh>
    <rPh sb="60" eb="62">
      <t>イゼン</t>
    </rPh>
    <rPh sb="62" eb="64">
      <t>デンワ</t>
    </rPh>
    <rPh sb="65" eb="66">
      <t>ト</t>
    </rPh>
    <rPh sb="67" eb="68">
      <t>ア</t>
    </rPh>
    <rPh sb="73" eb="76">
      <t>シャシンド</t>
    </rPh>
    <rPh sb="77" eb="79">
      <t>キボウ</t>
    </rPh>
    <rPh sb="84" eb="86">
      <t>フタリ</t>
    </rPh>
    <rPh sb="87" eb="90">
      <t>サイライカン</t>
    </rPh>
    <rPh sb="95" eb="98">
      <t>カリヨヤク</t>
    </rPh>
    <rPh sb="99" eb="100">
      <t>フ</t>
    </rPh>
    <rPh sb="101" eb="103">
      <t>エンキ</t>
    </rPh>
    <rPh sb="106" eb="107">
      <t>キ</t>
    </rPh>
    <phoneticPr fontId="4"/>
  </si>
  <si>
    <t>ことぶき紹介　挙式→会食→友人会費制パーティ/恩道</t>
    <rPh sb="4" eb="6">
      <t>ショウカイ</t>
    </rPh>
    <rPh sb="7" eb="9">
      <t>キョシキ</t>
    </rPh>
    <rPh sb="10" eb="12">
      <t>カイショク</t>
    </rPh>
    <rPh sb="13" eb="15">
      <t>ユウジン</t>
    </rPh>
    <rPh sb="15" eb="18">
      <t>カイヒセイ</t>
    </rPh>
    <rPh sb="23" eb="25">
      <t>オンドウ</t>
    </rPh>
    <phoneticPr fontId="4"/>
  </si>
  <si>
    <t>飛び込み見学　話聞くと団体扱いになりそう/恩道</t>
    <rPh sb="0" eb="1">
      <t>ト</t>
    </rPh>
    <rPh sb="2" eb="3">
      <t>コ</t>
    </rPh>
    <rPh sb="4" eb="6">
      <t>ケンガク</t>
    </rPh>
    <rPh sb="7" eb="9">
      <t>ハナシキ</t>
    </rPh>
    <rPh sb="11" eb="13">
      <t>ダンタイ</t>
    </rPh>
    <rPh sb="13" eb="14">
      <t>アツカ</t>
    </rPh>
    <rPh sb="21" eb="23">
      <t>オンドウ</t>
    </rPh>
    <phoneticPr fontId="4"/>
  </si>
  <si>
    <t>成約日</t>
    <rPh sb="0" eb="2">
      <t>セイヤク</t>
    </rPh>
    <rPh sb="2" eb="3">
      <t xml:space="preserve">ビ </t>
    </rPh>
    <phoneticPr fontId="4"/>
  </si>
  <si>
    <t>中野翔也</t>
    <rPh sb="0" eb="2">
      <t>ナカノ</t>
    </rPh>
    <rPh sb="2" eb="3">
      <t>ショウ</t>
    </rPh>
    <rPh sb="3" eb="4">
      <t>ヤ</t>
    </rPh>
    <phoneticPr fontId="4"/>
  </si>
  <si>
    <t>瑞紀</t>
    <rPh sb="0" eb="2">
      <t>ミズキ</t>
    </rPh>
    <phoneticPr fontId="4"/>
  </si>
  <si>
    <t>アイプリモ紹介　2月に資料請求　</t>
    <rPh sb="5" eb="7">
      <t>ショウカイ</t>
    </rPh>
    <rPh sb="9" eb="10">
      <t>ガツ</t>
    </rPh>
    <rPh sb="11" eb="15">
      <t>シリョウセイキュウ</t>
    </rPh>
    <phoneticPr fontId="4"/>
  </si>
  <si>
    <t>西澤　裕也</t>
    <rPh sb="0" eb="2">
      <t>ニシザワ</t>
    </rPh>
    <rPh sb="3" eb="5">
      <t>ユウヤ</t>
    </rPh>
    <phoneticPr fontId="4"/>
  </si>
  <si>
    <t>宗廣　亜希子</t>
    <rPh sb="0" eb="2">
      <t>ムネヒロ</t>
    </rPh>
    <rPh sb="3" eb="6">
      <t>アキコ</t>
    </rPh>
    <phoneticPr fontId="4"/>
  </si>
  <si>
    <t>ショップで内祝いを見に来たついでに、会場も見たいとなり飛び込みでお越しになった。式まではいいかなと、写真撮り+会食を希望　和装の前撮りも迷っている　予算次第　見積もりまだ渡せていない　再来有5/24予定　LINE登録済み</t>
    <rPh sb="5" eb="7">
      <t>ウチイワ</t>
    </rPh>
    <rPh sb="9" eb="10">
      <t>ミ</t>
    </rPh>
    <rPh sb="11" eb="12">
      <t>キ</t>
    </rPh>
    <rPh sb="18" eb="20">
      <t>カイジョウ</t>
    </rPh>
    <rPh sb="21" eb="22">
      <t>ミ</t>
    </rPh>
    <rPh sb="27" eb="28">
      <t>ト</t>
    </rPh>
    <rPh sb="29" eb="30">
      <t>コ</t>
    </rPh>
    <rPh sb="33" eb="34">
      <t>コ</t>
    </rPh>
    <rPh sb="40" eb="41">
      <t>シキ</t>
    </rPh>
    <rPh sb="50" eb="53">
      <t>シャシンド</t>
    </rPh>
    <rPh sb="55" eb="57">
      <t>カイショク</t>
    </rPh>
    <rPh sb="58" eb="60">
      <t>キボウ</t>
    </rPh>
    <rPh sb="61" eb="63">
      <t>ワソウ</t>
    </rPh>
    <rPh sb="64" eb="66">
      <t>マエド</t>
    </rPh>
    <rPh sb="68" eb="69">
      <t>マヨ</t>
    </rPh>
    <rPh sb="74" eb="78">
      <t>ヨサンシダイ</t>
    </rPh>
    <rPh sb="79" eb="81">
      <t>ミツ</t>
    </rPh>
    <rPh sb="85" eb="86">
      <t>ワタ</t>
    </rPh>
    <rPh sb="92" eb="94">
      <t>サイライ</t>
    </rPh>
    <rPh sb="94" eb="95">
      <t>ア</t>
    </rPh>
    <rPh sb="99" eb="101">
      <t>ヨテイ</t>
    </rPh>
    <rPh sb="106" eb="109">
      <t>トウロクズ</t>
    </rPh>
    <phoneticPr fontId="4"/>
  </si>
  <si>
    <t>吉成　岳</t>
    <rPh sb="0" eb="2">
      <t>ヨシナリ</t>
    </rPh>
    <rPh sb="3" eb="4">
      <t>タケル</t>
    </rPh>
    <phoneticPr fontId="4"/>
  </si>
  <si>
    <t>飛鳥井　麻結</t>
    <rPh sb="0" eb="3">
      <t>アスカイ</t>
    </rPh>
    <rPh sb="4" eb="5">
      <t>アサ</t>
    </rPh>
    <rPh sb="5" eb="6">
      <t>ケツ</t>
    </rPh>
    <phoneticPr fontId="4"/>
  </si>
  <si>
    <t>郎北海道出身、婦金沢。郎両親が金沢に来るタイミングでフォトを。インスタで知った。トネルで通常予約あり。</t>
    <rPh sb="0" eb="1">
      <t>ロウ</t>
    </rPh>
    <rPh sb="1" eb="4">
      <t>ホッカイドウ</t>
    </rPh>
    <rPh sb="4" eb="6">
      <t>シュッシン</t>
    </rPh>
    <rPh sb="7" eb="8">
      <t>フ</t>
    </rPh>
    <rPh sb="8" eb="10">
      <t>カナザワ</t>
    </rPh>
    <rPh sb="11" eb="14">
      <t>ロウリョウシン</t>
    </rPh>
    <rPh sb="15" eb="17">
      <t>カナザワ</t>
    </rPh>
    <rPh sb="18" eb="19">
      <t>ク</t>
    </rPh>
    <rPh sb="36" eb="37">
      <t>シ</t>
    </rPh>
    <rPh sb="44" eb="46">
      <t>ツウジョウ</t>
    </rPh>
    <rPh sb="46" eb="48">
      <t>ヨヤク</t>
    </rPh>
    <phoneticPr fontId="4"/>
  </si>
  <si>
    <t>石黒　明奈</t>
    <rPh sb="0" eb="2">
      <t>イシグロ</t>
    </rPh>
    <rPh sb="3" eb="5">
      <t>アキナ</t>
    </rPh>
    <phoneticPr fontId="4"/>
  </si>
  <si>
    <t>山田　壮洋</t>
    <rPh sb="0" eb="2">
      <t>ヤマダ</t>
    </rPh>
    <rPh sb="3" eb="4">
      <t>ソウ</t>
    </rPh>
    <rPh sb="4" eb="5">
      <t>ヨウ</t>
    </rPh>
    <phoneticPr fontId="4"/>
  </si>
  <si>
    <t>近谷　香織</t>
    <rPh sb="0" eb="2">
      <t>コンタニ</t>
    </rPh>
    <rPh sb="3" eb="5">
      <t>カオリ</t>
    </rPh>
    <phoneticPr fontId="4"/>
  </si>
  <si>
    <t>鈴木　菜摘</t>
    <rPh sb="0" eb="2">
      <t>スズキ</t>
    </rPh>
    <rPh sb="3" eb="5">
      <t>ナツミ</t>
    </rPh>
    <phoneticPr fontId="4"/>
  </si>
  <si>
    <t>百万 穂乃香</t>
    <phoneticPr fontId="4"/>
  </si>
  <si>
    <t>宮野　昭良</t>
    <rPh sb="0" eb="2">
      <t>ミヤノ</t>
    </rPh>
    <rPh sb="3" eb="4">
      <t>アキラ</t>
    </rPh>
    <rPh sb="4" eb="5">
      <t>リョウ</t>
    </rPh>
    <phoneticPr fontId="4"/>
  </si>
  <si>
    <t>藤田　茜</t>
    <rPh sb="0" eb="2">
      <t>フジタ</t>
    </rPh>
    <rPh sb="3" eb="4">
      <t>アカネ</t>
    </rPh>
    <phoneticPr fontId="4"/>
  </si>
  <si>
    <t>ヴィラ グランディス</t>
  </si>
  <si>
    <t>5/22ブラスポ電話あり　ご懐妊つわりひどいいったん結婚式は保留　うちでほぼ決めたいとブラスポにゆってた/祖父母のために結婚式を実施　シンプルにしたい　5/29にアークへ見学その後お返事</t>
    <rPh sb="8" eb="10">
      <t>デンワ</t>
    </rPh>
    <rPh sb="14" eb="16">
      <t>カイニン</t>
    </rPh>
    <rPh sb="26" eb="29">
      <t>ケッコンシキ</t>
    </rPh>
    <rPh sb="30" eb="32">
      <t>ホリュウ</t>
    </rPh>
    <rPh sb="38" eb="39">
      <t>キ</t>
    </rPh>
    <rPh sb="53" eb="56">
      <t>ソフボ</t>
    </rPh>
    <rPh sb="60" eb="63">
      <t>ケッコンシキ</t>
    </rPh>
    <rPh sb="64" eb="66">
      <t>ジッシ</t>
    </rPh>
    <rPh sb="85" eb="87">
      <t>ケンガク</t>
    </rPh>
    <rPh sb="89" eb="90">
      <t>ゴ</t>
    </rPh>
    <rPh sb="91" eb="93">
      <t>ヘンジ</t>
    </rPh>
    <phoneticPr fontId="4"/>
  </si>
  <si>
    <t>石黒寛人</t>
    <rPh sb="0" eb="2">
      <t>イシグロ</t>
    </rPh>
    <rPh sb="2" eb="4">
      <t>ヒロヒト</t>
    </rPh>
    <phoneticPr fontId="4"/>
  </si>
  <si>
    <t>鹿島良晃</t>
    <rPh sb="0" eb="2">
      <t>カシマ</t>
    </rPh>
    <rPh sb="2" eb="3">
      <t>リョウ</t>
    </rPh>
    <rPh sb="3" eb="4">
      <t>アキラ</t>
    </rPh>
    <phoneticPr fontId="4"/>
  </si>
  <si>
    <t>胡摩智美</t>
    <rPh sb="0" eb="1">
      <t>コ</t>
    </rPh>
    <rPh sb="1" eb="2">
      <t>マ</t>
    </rPh>
    <rPh sb="2" eb="4">
      <t>トモミ</t>
    </rPh>
    <phoneticPr fontId="4"/>
  </si>
  <si>
    <t>鈴木竜巳</t>
    <rPh sb="0" eb="2">
      <t>スズキ</t>
    </rPh>
    <rPh sb="2" eb="3">
      <t>タツ</t>
    </rPh>
    <rPh sb="3" eb="4">
      <t>ミ</t>
    </rPh>
    <phoneticPr fontId="4"/>
  </si>
  <si>
    <t>埼玉在住、時間なく後日見積もりライン　今年秋平日</t>
    <rPh sb="0" eb="2">
      <t>サイタマ</t>
    </rPh>
    <rPh sb="2" eb="4">
      <t>ザイジュウ</t>
    </rPh>
    <rPh sb="5" eb="7">
      <t>ジカン</t>
    </rPh>
    <rPh sb="9" eb="11">
      <t>ゴジツ</t>
    </rPh>
    <rPh sb="11" eb="13">
      <t>ミツ</t>
    </rPh>
    <rPh sb="19" eb="21">
      <t>コトシ</t>
    </rPh>
    <rPh sb="21" eb="22">
      <t>アキ</t>
    </rPh>
    <rPh sb="22" eb="24">
      <t>ヘイジツ</t>
    </rPh>
    <phoneticPr fontId="4"/>
  </si>
  <si>
    <t>𠮷川　貴志</t>
    <rPh sb="0" eb="3">
      <t>ヨシカワ</t>
    </rPh>
    <rPh sb="4" eb="5">
      <t>タカシ</t>
    </rPh>
    <rPh sb="5" eb="6">
      <t>シ</t>
    </rPh>
    <phoneticPr fontId="4"/>
  </si>
  <si>
    <t>河原　真里絵</t>
    <rPh sb="0" eb="2">
      <t>カワラ</t>
    </rPh>
    <rPh sb="3" eb="6">
      <t>マリエ</t>
    </rPh>
    <phoneticPr fontId="4"/>
  </si>
  <si>
    <t>ゼクナビたんぼ様の姉。(婦より予約)新婦美容師、新郎シフトの為、月曜に仮予約。雰囲気重視。ﾘﾝｸﾞﾄﾞｯｸﾞ検討。婦実家兼業農家なのでお米、野菜など使用希望</t>
    <rPh sb="7" eb="8">
      <t>サマ</t>
    </rPh>
    <rPh sb="9" eb="10">
      <t>アネ</t>
    </rPh>
    <rPh sb="12" eb="13">
      <t>フ</t>
    </rPh>
    <rPh sb="15" eb="17">
      <t>ヨヤク</t>
    </rPh>
    <rPh sb="18" eb="20">
      <t>シンプ</t>
    </rPh>
    <rPh sb="20" eb="23">
      <t>ビヨウシ</t>
    </rPh>
    <rPh sb="24" eb="26">
      <t>シンロウ</t>
    </rPh>
    <rPh sb="30" eb="31">
      <t>タメ</t>
    </rPh>
    <rPh sb="32" eb="34">
      <t>ゲツヨウ</t>
    </rPh>
    <rPh sb="35" eb="38">
      <t>カリヨヤク</t>
    </rPh>
    <rPh sb="39" eb="42">
      <t>フンイキ</t>
    </rPh>
    <rPh sb="42" eb="44">
      <t>ジュウシ</t>
    </rPh>
    <rPh sb="54" eb="56">
      <t>ケントウ</t>
    </rPh>
    <rPh sb="57" eb="58">
      <t>フ</t>
    </rPh>
    <rPh sb="58" eb="60">
      <t>ジッカ</t>
    </rPh>
    <rPh sb="60" eb="64">
      <t>ケンギョウノウカ</t>
    </rPh>
    <rPh sb="68" eb="69">
      <t>コメ</t>
    </rPh>
    <rPh sb="70" eb="72">
      <t>ヤサイ</t>
    </rPh>
    <rPh sb="74" eb="78">
      <t>シヨウキボウ</t>
    </rPh>
    <phoneticPr fontId="4"/>
  </si>
  <si>
    <t>菊田　力</t>
    <rPh sb="0" eb="1">
      <t>キク</t>
    </rPh>
    <rPh sb="1" eb="2">
      <t>タ</t>
    </rPh>
    <rPh sb="3" eb="4">
      <t>チカラ</t>
    </rPh>
    <phoneticPr fontId="4"/>
  </si>
  <si>
    <t>ディステーノ</t>
  </si>
  <si>
    <t>ディステーノ</t>
    <phoneticPr fontId="4"/>
  </si>
  <si>
    <t>郎は森本出身、婦がインスタで初めて知った。今年の9月入籍で来年を検討。季節は秋が良い。カジュアルな雰囲気で反応◎。</t>
    <rPh sb="0" eb="1">
      <t>ロウ</t>
    </rPh>
    <rPh sb="2" eb="4">
      <t>モリモト</t>
    </rPh>
    <rPh sb="4" eb="6">
      <t>シュッシン</t>
    </rPh>
    <rPh sb="7" eb="8">
      <t>フ</t>
    </rPh>
    <rPh sb="14" eb="15">
      <t>ハジ</t>
    </rPh>
    <rPh sb="17" eb="18">
      <t>シ</t>
    </rPh>
    <rPh sb="21" eb="23">
      <t>コトシ</t>
    </rPh>
    <rPh sb="25" eb="28">
      <t>ガツニュウセキ</t>
    </rPh>
    <rPh sb="29" eb="31">
      <t>ライネン</t>
    </rPh>
    <rPh sb="32" eb="34">
      <t>ケントウ</t>
    </rPh>
    <rPh sb="35" eb="37">
      <t>キセツ</t>
    </rPh>
    <rPh sb="38" eb="39">
      <t>アキ</t>
    </rPh>
    <rPh sb="40" eb="41">
      <t>ヨ</t>
    </rPh>
    <rPh sb="49" eb="52">
      <t>フンイキ</t>
    </rPh>
    <rPh sb="53" eb="55">
      <t>ハンノウ</t>
    </rPh>
    <phoneticPr fontId="4"/>
  </si>
  <si>
    <t>稲垣　諒汰</t>
    <rPh sb="0" eb="2">
      <t>イナガキ</t>
    </rPh>
    <rPh sb="3" eb="4">
      <t>リョウ</t>
    </rPh>
    <rPh sb="4" eb="5">
      <t>タ</t>
    </rPh>
    <phoneticPr fontId="4"/>
  </si>
  <si>
    <t>ほりた</t>
    <phoneticPr fontId="4"/>
  </si>
  <si>
    <t>5/28直TEL　当日来館希望お断りした</t>
    <rPh sb="4" eb="8">
      <t>チョクテル</t>
    </rPh>
    <rPh sb="9" eb="11">
      <t>トウジツ</t>
    </rPh>
    <rPh sb="11" eb="13">
      <t>ライカン</t>
    </rPh>
    <rPh sb="13" eb="15">
      <t>キボウ</t>
    </rPh>
    <rPh sb="16" eb="17">
      <t>コトワ</t>
    </rPh>
    <phoneticPr fontId="4"/>
  </si>
  <si>
    <t>堀田　卓</t>
    <rPh sb="0" eb="2">
      <t>ホリタ</t>
    </rPh>
    <rPh sb="3" eb="4">
      <t>スグル</t>
    </rPh>
    <phoneticPr fontId="4"/>
  </si>
  <si>
    <t>5/29電話で仮　ﾌﾞｰｹ持込できるとこ　リングドック　派手でない普通の式希望</t>
    <rPh sb="4" eb="6">
      <t>デンワ</t>
    </rPh>
    <rPh sb="7" eb="8">
      <t>カリ</t>
    </rPh>
    <rPh sb="13" eb="15">
      <t>モチコミ</t>
    </rPh>
    <rPh sb="28" eb="30">
      <t>ハデ</t>
    </rPh>
    <rPh sb="33" eb="35">
      <t>フツウ</t>
    </rPh>
    <rPh sb="36" eb="38">
      <t>キボウ</t>
    </rPh>
    <phoneticPr fontId="4"/>
  </si>
  <si>
    <t>村田奈緒子</t>
    <rPh sb="0" eb="2">
      <t>ムラタ</t>
    </rPh>
    <rPh sb="2" eb="5">
      <t>ナオコ</t>
    </rPh>
    <phoneticPr fontId="4"/>
  </si>
  <si>
    <t>堺雅晃</t>
    <rPh sb="0" eb="1">
      <t>サカイ</t>
    </rPh>
    <rPh sb="1" eb="2">
      <t>マサ</t>
    </rPh>
    <rPh sb="2" eb="3">
      <t>アキラ</t>
    </rPh>
    <phoneticPr fontId="4"/>
  </si>
  <si>
    <t>室谷理沙</t>
    <rPh sb="0" eb="2">
      <t>ムロタニ</t>
    </rPh>
    <rPh sb="2" eb="4">
      <t>リサ</t>
    </rPh>
    <phoneticPr fontId="4"/>
  </si>
  <si>
    <t>たかはし</t>
    <phoneticPr fontId="4"/>
  </si>
  <si>
    <t>田村　莉奈</t>
    <rPh sb="0" eb="2">
      <t>タムラ</t>
    </rPh>
    <rPh sb="3" eb="5">
      <t>リナ</t>
    </rPh>
    <phoneticPr fontId="4"/>
  </si>
  <si>
    <t>~400万円</t>
  </si>
  <si>
    <t>新郎：射水、新婦：小矢部出身　高岡にお住いのおふたり　親族+友人　緑の雰囲気・ワンちゃんの持込大事</t>
    <rPh sb="0" eb="2">
      <t>シンロウ</t>
    </rPh>
    <rPh sb="3" eb="5">
      <t>イミズ</t>
    </rPh>
    <rPh sb="6" eb="8">
      <t>シンプ</t>
    </rPh>
    <rPh sb="9" eb="12">
      <t>オヤベ</t>
    </rPh>
    <rPh sb="12" eb="14">
      <t>シュッシン</t>
    </rPh>
    <rPh sb="15" eb="17">
      <t>タカオカ</t>
    </rPh>
    <rPh sb="19" eb="20">
      <t>スマ</t>
    </rPh>
    <rPh sb="27" eb="29">
      <t>シンゾク</t>
    </rPh>
    <rPh sb="30" eb="32">
      <t>ユウジン</t>
    </rPh>
    <rPh sb="33" eb="34">
      <t>ミドリ</t>
    </rPh>
    <rPh sb="35" eb="38">
      <t>フンイキ</t>
    </rPh>
    <rPh sb="45" eb="47">
      <t>モチコミ</t>
    </rPh>
    <rPh sb="47" eb="49">
      <t>ダイジ</t>
    </rPh>
    <phoneticPr fontId="4"/>
  </si>
  <si>
    <t>島村　千佳</t>
    <rPh sb="0" eb="2">
      <t>シマムラ</t>
    </rPh>
    <rPh sb="3" eb="5">
      <t>チカ</t>
    </rPh>
    <phoneticPr fontId="4"/>
  </si>
  <si>
    <t>あえの風</t>
    <rPh sb="3" eb="4">
      <t>カゼ</t>
    </rPh>
    <phoneticPr fontId="4"/>
  </si>
  <si>
    <t>梅崎　依央奈</t>
    <rPh sb="0" eb="2">
      <t>ウメザキ</t>
    </rPh>
    <rPh sb="3" eb="4">
      <t>イ</t>
    </rPh>
    <rPh sb="4" eb="5">
      <t>オウ</t>
    </rPh>
    <rPh sb="5" eb="6">
      <t>ナ</t>
    </rPh>
    <phoneticPr fontId="4"/>
  </si>
  <si>
    <t>郎婦ともに金沢。親族のみで食事メイン。司会の有無も検討。夏ごろ入籍予定。お料理・おもてなし軸。</t>
    <rPh sb="0" eb="1">
      <t>ロウ</t>
    </rPh>
    <rPh sb="1" eb="2">
      <t>フ</t>
    </rPh>
    <rPh sb="5" eb="7">
      <t>カナザワ</t>
    </rPh>
    <rPh sb="8" eb="10">
      <t>シンゾク</t>
    </rPh>
    <rPh sb="13" eb="15">
      <t>ショクジ</t>
    </rPh>
    <rPh sb="19" eb="21">
      <t>シカイ</t>
    </rPh>
    <rPh sb="22" eb="24">
      <t>ウム</t>
    </rPh>
    <rPh sb="25" eb="27">
      <t>ケントウ</t>
    </rPh>
    <rPh sb="28" eb="29">
      <t>ナツ</t>
    </rPh>
    <rPh sb="31" eb="35">
      <t>ニュウセキヨテイ</t>
    </rPh>
    <rPh sb="37" eb="39">
      <t>リョウリ</t>
    </rPh>
    <rPh sb="45" eb="46">
      <t>ジク</t>
    </rPh>
    <phoneticPr fontId="4"/>
  </si>
  <si>
    <t>3/28 11：45 TELしたが出ず。12：00折TELあり。親族のみ。二人の休みが合わず、5月来館希望。4月TEL/メールする。4/28婦とTELし、来館決定。5/3式＋会食orフォト＋会食を希望。時期は未定。今年でも来年でも◎</t>
    <rPh sb="17" eb="18">
      <t>デ</t>
    </rPh>
    <rPh sb="25" eb="26">
      <t>オ</t>
    </rPh>
    <rPh sb="32" eb="34">
      <t>シンゾク</t>
    </rPh>
    <rPh sb="37" eb="39">
      <t>フタリ</t>
    </rPh>
    <rPh sb="40" eb="41">
      <t>ヤス</t>
    </rPh>
    <rPh sb="43" eb="44">
      <t>ア</t>
    </rPh>
    <rPh sb="48" eb="49">
      <t>ガツ</t>
    </rPh>
    <rPh sb="49" eb="51">
      <t>ライカン</t>
    </rPh>
    <rPh sb="51" eb="53">
      <t>キボウ</t>
    </rPh>
    <rPh sb="55" eb="56">
      <t>ガツ</t>
    </rPh>
    <rPh sb="70" eb="71">
      <t>フ</t>
    </rPh>
    <rPh sb="77" eb="79">
      <t>ライカン</t>
    </rPh>
    <rPh sb="79" eb="81">
      <t>ケッテイ</t>
    </rPh>
    <rPh sb="85" eb="86">
      <t>シキ</t>
    </rPh>
    <rPh sb="87" eb="89">
      <t>カイショク</t>
    </rPh>
    <rPh sb="95" eb="97">
      <t>カイショク</t>
    </rPh>
    <rPh sb="98" eb="100">
      <t>キボウ</t>
    </rPh>
    <rPh sb="101" eb="103">
      <t>ジキ</t>
    </rPh>
    <rPh sb="104" eb="106">
      <t>ミテイ</t>
    </rPh>
    <rPh sb="107" eb="109">
      <t>コトシ</t>
    </rPh>
    <rPh sb="111" eb="113">
      <t>ライネン</t>
    </rPh>
    <phoneticPr fontId="4"/>
  </si>
  <si>
    <t>6/2親族から金沢でするのはNG　高岡で探すのかどうかは不明　ガーデン挙式かな+友人写真タイム＋親族食事会</t>
    <rPh sb="3" eb="5">
      <t>シンゾク</t>
    </rPh>
    <rPh sb="7" eb="9">
      <t>カナザワ</t>
    </rPh>
    <rPh sb="17" eb="19">
      <t>タカオカ</t>
    </rPh>
    <rPh sb="20" eb="21">
      <t>サガ</t>
    </rPh>
    <rPh sb="28" eb="30">
      <t>フメイ</t>
    </rPh>
    <rPh sb="35" eb="37">
      <t>キョシキ</t>
    </rPh>
    <rPh sb="40" eb="42">
      <t>ユウジン</t>
    </rPh>
    <rPh sb="42" eb="44">
      <t>シャシン</t>
    </rPh>
    <rPh sb="48" eb="53">
      <t>シンゾクショクジカイ</t>
    </rPh>
    <phoneticPr fontId="4"/>
  </si>
  <si>
    <t>山田　光生</t>
    <rPh sb="0" eb="2">
      <t>ヤマダ</t>
    </rPh>
    <rPh sb="3" eb="4">
      <t>ヒカル</t>
    </rPh>
    <rPh sb="4" eb="5">
      <t>ショウ</t>
    </rPh>
    <phoneticPr fontId="4"/>
  </si>
  <si>
    <t>(中村)夕貴</t>
    <rPh sb="1" eb="3">
      <t>ナカムラ</t>
    </rPh>
    <rPh sb="4" eb="6">
      <t>ユウキ</t>
    </rPh>
    <phoneticPr fontId="4"/>
  </si>
  <si>
    <t>家族だけで式＋食事　安い方が良いので平日でも可　雰囲気重視　高岡Rで知ったっぽい</t>
    <rPh sb="0" eb="2">
      <t>カゾク</t>
    </rPh>
    <rPh sb="5" eb="6">
      <t>シキ</t>
    </rPh>
    <rPh sb="7" eb="9">
      <t>ショクジ</t>
    </rPh>
    <rPh sb="10" eb="11">
      <t>ヤス</t>
    </rPh>
    <rPh sb="12" eb="13">
      <t>ホウ</t>
    </rPh>
    <rPh sb="14" eb="15">
      <t>ヨ</t>
    </rPh>
    <rPh sb="18" eb="20">
      <t>ヘイジツ</t>
    </rPh>
    <rPh sb="22" eb="23">
      <t>カ</t>
    </rPh>
    <rPh sb="24" eb="27">
      <t>フンイキ</t>
    </rPh>
    <rPh sb="27" eb="29">
      <t>ジュウシ</t>
    </rPh>
    <rPh sb="30" eb="32">
      <t>タカオカ</t>
    </rPh>
    <rPh sb="34" eb="35">
      <t>シ</t>
    </rPh>
    <phoneticPr fontId="4"/>
  </si>
  <si>
    <t>家族だけで挙式+食事会　平日希望</t>
    <phoneticPr fontId="4"/>
  </si>
  <si>
    <t>6/6再来。試食提供。会場はここでやりたいと思っているが、時期再考したい(秋も気になる)。秋に再来して会場見学したいかも。試食出せず。いろはちゃん(6か月)と一緒でゆっくりできず、30日に再来にて見積もり提案。式はせずに同室人前にて。お披露目をすることをﾒｲﾝで考えている。</t>
    <rPh sb="3" eb="5">
      <t>サイライ</t>
    </rPh>
    <rPh sb="6" eb="8">
      <t>シショク</t>
    </rPh>
    <rPh sb="8" eb="10">
      <t>テイキョウ</t>
    </rPh>
    <rPh sb="11" eb="13">
      <t>カイジョウ</t>
    </rPh>
    <rPh sb="22" eb="23">
      <t>オモ</t>
    </rPh>
    <rPh sb="29" eb="31">
      <t>ジキ</t>
    </rPh>
    <rPh sb="31" eb="33">
      <t>サイコウ</t>
    </rPh>
    <rPh sb="37" eb="38">
      <t>アキ</t>
    </rPh>
    <rPh sb="39" eb="40">
      <t>キ</t>
    </rPh>
    <rPh sb="45" eb="46">
      <t>アキ</t>
    </rPh>
    <rPh sb="47" eb="49">
      <t>サイライ</t>
    </rPh>
    <rPh sb="51" eb="55">
      <t>カイジョウケンガク</t>
    </rPh>
    <rPh sb="61" eb="64">
      <t>シショクダ</t>
    </rPh>
    <rPh sb="76" eb="77">
      <t>ゲツ</t>
    </rPh>
    <rPh sb="79" eb="81">
      <t>イッショ</t>
    </rPh>
    <rPh sb="92" eb="93">
      <t>ニチ</t>
    </rPh>
    <rPh sb="94" eb="96">
      <t>サイライ</t>
    </rPh>
    <rPh sb="98" eb="100">
      <t>ミツ</t>
    </rPh>
    <rPh sb="102" eb="104">
      <t>テイアン</t>
    </rPh>
    <rPh sb="105" eb="106">
      <t>シキ</t>
    </rPh>
    <rPh sb="110" eb="114">
      <t>ドウシツジンゼン</t>
    </rPh>
    <rPh sb="118" eb="121">
      <t>ヒロメ</t>
    </rPh>
    <rPh sb="131" eb="132">
      <t>カンガ</t>
    </rPh>
    <phoneticPr fontId="4"/>
  </si>
  <si>
    <t>ララシャンスで決定のためご来館ならず。</t>
    <rPh sb="7" eb="9">
      <t>ケッテイ</t>
    </rPh>
    <rPh sb="13" eb="15">
      <t>ライカン</t>
    </rPh>
    <phoneticPr fontId="4"/>
  </si>
  <si>
    <t>2022/11・12</t>
    <phoneticPr fontId="4"/>
  </si>
  <si>
    <t>稲垣　陽介</t>
    <rPh sb="0" eb="2">
      <t>イナガキ</t>
    </rPh>
    <rPh sb="3" eb="5">
      <t>ヨウスケ</t>
    </rPh>
    <phoneticPr fontId="4"/>
  </si>
  <si>
    <t>ラグナヴェール</t>
  </si>
  <si>
    <t>新郎岐阜、新婦金沢出身　フォト+会食or挙式+会食　記念に残したい　目立つの嫌　</t>
    <rPh sb="0" eb="2">
      <t>シンロウ</t>
    </rPh>
    <rPh sb="2" eb="4">
      <t>ギフ</t>
    </rPh>
    <rPh sb="5" eb="7">
      <t>シンプ</t>
    </rPh>
    <rPh sb="7" eb="9">
      <t>カナザワ</t>
    </rPh>
    <rPh sb="9" eb="11">
      <t>シュッシン</t>
    </rPh>
    <rPh sb="16" eb="18">
      <t>カイショク</t>
    </rPh>
    <rPh sb="20" eb="22">
      <t>キョシキ</t>
    </rPh>
    <rPh sb="23" eb="25">
      <t>カイショク</t>
    </rPh>
    <rPh sb="26" eb="28">
      <t>キネン</t>
    </rPh>
    <rPh sb="29" eb="30">
      <t>ノコ</t>
    </rPh>
    <rPh sb="34" eb="36">
      <t>メダ</t>
    </rPh>
    <rPh sb="38" eb="39">
      <t>イヤ</t>
    </rPh>
    <phoneticPr fontId="4"/>
  </si>
  <si>
    <t>市井　宏明</t>
    <rPh sb="0" eb="2">
      <t>イチイ</t>
    </rPh>
    <rPh sb="3" eb="5">
      <t>ヒロアキ</t>
    </rPh>
    <phoneticPr fontId="4"/>
  </si>
  <si>
    <t>横堀　佑子</t>
    <rPh sb="0" eb="2">
      <t>ヨコボリ</t>
    </rPh>
    <rPh sb="3" eb="5">
      <t>ユウコ</t>
    </rPh>
    <phoneticPr fontId="4"/>
  </si>
  <si>
    <t>辻　晃平</t>
    <rPh sb="0" eb="1">
      <t>ツジ</t>
    </rPh>
    <rPh sb="2" eb="4">
      <t>コウヘイ</t>
    </rPh>
    <phoneticPr fontId="4"/>
  </si>
  <si>
    <t>中敷　千春</t>
    <rPh sb="0" eb="2">
      <t>ナカシキ</t>
    </rPh>
    <rPh sb="3" eb="5">
      <t>チハル</t>
    </rPh>
    <phoneticPr fontId="4"/>
  </si>
  <si>
    <t>辻　希望</t>
    <rPh sb="0" eb="1">
      <t>ツジ</t>
    </rPh>
    <rPh sb="2" eb="4">
      <t>キボウ</t>
    </rPh>
    <phoneticPr fontId="4"/>
  </si>
  <si>
    <t>インスタで知った</t>
    <rPh sb="5" eb="6">
      <t>シ</t>
    </rPh>
    <phoneticPr fontId="4"/>
  </si>
  <si>
    <t>林　秀美</t>
    <rPh sb="0" eb="1">
      <t>ハヤシ</t>
    </rPh>
    <rPh sb="2" eb="4">
      <t>ヒデミ</t>
    </rPh>
    <phoneticPr fontId="4"/>
  </si>
  <si>
    <t>LINEで予約/体調不良のため前日キャンセル</t>
    <rPh sb="5" eb="7">
      <t>ヨヤク</t>
    </rPh>
    <rPh sb="8" eb="12">
      <t>タイチョウフリョウ</t>
    </rPh>
    <rPh sb="15" eb="17">
      <t>ゼンジツ</t>
    </rPh>
    <phoneticPr fontId="4"/>
  </si>
  <si>
    <t>6/20郎よりTEL有ララシャンスで他決 新郎新潟　新婦野々市出身　次週4件見に行く予定　カメラマン持ち込みたい　会場迷っている　</t>
    <rPh sb="21" eb="23">
      <t>シンロウ</t>
    </rPh>
    <rPh sb="23" eb="25">
      <t>ニイガタ</t>
    </rPh>
    <rPh sb="26" eb="28">
      <t>シンプ</t>
    </rPh>
    <rPh sb="28" eb="31">
      <t>ノノイチ</t>
    </rPh>
    <rPh sb="31" eb="33">
      <t>シュッシン</t>
    </rPh>
    <rPh sb="34" eb="36">
      <t>ジシュウ</t>
    </rPh>
    <rPh sb="37" eb="38">
      <t>ケン</t>
    </rPh>
    <rPh sb="38" eb="39">
      <t>ミ</t>
    </rPh>
    <rPh sb="40" eb="41">
      <t>イ</t>
    </rPh>
    <rPh sb="42" eb="44">
      <t>ヨテイ</t>
    </rPh>
    <rPh sb="50" eb="51">
      <t>モ</t>
    </rPh>
    <rPh sb="52" eb="53">
      <t>コ</t>
    </rPh>
    <rPh sb="57" eb="59">
      <t>カイジョウ</t>
    </rPh>
    <rPh sb="59" eb="60">
      <t>マヨ</t>
    </rPh>
    <phoneticPr fontId="4"/>
  </si>
  <si>
    <t>9/10仮予約→キャンセル→10/11にて決定　みつわ紹介（久保さんのお勧めで）新郎富山　新婦小松出身　親族だけの式のみ　アマンダンヴィラにも行く　4件の中からご決定</t>
    <rPh sb="4" eb="7">
      <t>カリヨヤク</t>
    </rPh>
    <rPh sb="21" eb="23">
      <t>ケッテイ</t>
    </rPh>
    <rPh sb="27" eb="29">
      <t>ショウカイ</t>
    </rPh>
    <rPh sb="30" eb="32">
      <t>クボ</t>
    </rPh>
    <rPh sb="36" eb="37">
      <t>スス</t>
    </rPh>
    <rPh sb="40" eb="42">
      <t>シンロウ</t>
    </rPh>
    <rPh sb="42" eb="44">
      <t>トヤマ</t>
    </rPh>
    <rPh sb="45" eb="47">
      <t>シンプ</t>
    </rPh>
    <rPh sb="47" eb="49">
      <t>コマツ</t>
    </rPh>
    <rPh sb="49" eb="51">
      <t>シュッシン</t>
    </rPh>
    <rPh sb="52" eb="54">
      <t>シンゾク</t>
    </rPh>
    <rPh sb="57" eb="58">
      <t>シキ</t>
    </rPh>
    <rPh sb="71" eb="72">
      <t>イ</t>
    </rPh>
    <rPh sb="75" eb="76">
      <t>ケン</t>
    </rPh>
    <rPh sb="77" eb="78">
      <t>ナカ</t>
    </rPh>
    <rPh sb="81" eb="83">
      <t>ケッテイ</t>
    </rPh>
    <phoneticPr fontId="4"/>
  </si>
  <si>
    <t>徳本　雄也</t>
    <rPh sb="0" eb="2">
      <t>トクモト</t>
    </rPh>
    <rPh sb="3" eb="4">
      <t>ユウ</t>
    </rPh>
    <rPh sb="4" eb="5">
      <t>ヤ</t>
    </rPh>
    <phoneticPr fontId="4"/>
  </si>
  <si>
    <t>ふたりとも小松出身　式+WP、和装前撮り希望　8月入籍・同棲開始予定</t>
    <rPh sb="5" eb="7">
      <t>コマツ</t>
    </rPh>
    <rPh sb="7" eb="9">
      <t>シュッシン</t>
    </rPh>
    <rPh sb="10" eb="11">
      <t>シキ</t>
    </rPh>
    <rPh sb="15" eb="17">
      <t>ワソウ</t>
    </rPh>
    <rPh sb="17" eb="19">
      <t>マエド</t>
    </rPh>
    <rPh sb="20" eb="22">
      <t>キボウ</t>
    </rPh>
    <rPh sb="24" eb="25">
      <t>ガツ</t>
    </rPh>
    <rPh sb="25" eb="27">
      <t>ニュウセキ</t>
    </rPh>
    <rPh sb="28" eb="30">
      <t>ドウセイ</t>
    </rPh>
    <rPh sb="30" eb="32">
      <t>カイシ</t>
    </rPh>
    <rPh sb="32" eb="34">
      <t>ヨテイ</t>
    </rPh>
    <phoneticPr fontId="4"/>
  </si>
  <si>
    <t>吉田　果澄</t>
    <rPh sb="0" eb="2">
      <t>ヨシダ</t>
    </rPh>
    <rPh sb="3" eb="4">
      <t>カ</t>
    </rPh>
    <phoneticPr fontId="4"/>
  </si>
  <si>
    <t>伊勢　大成</t>
    <rPh sb="0" eb="2">
      <t>イセ</t>
    </rPh>
    <rPh sb="3" eb="5">
      <t>タイセイ</t>
    </rPh>
    <phoneticPr fontId="4"/>
  </si>
  <si>
    <t>神谷　航平</t>
    <rPh sb="0" eb="2">
      <t>カミヤ</t>
    </rPh>
    <rPh sb="3" eb="5">
      <t>コウヘイ</t>
    </rPh>
    <phoneticPr fontId="4"/>
  </si>
  <si>
    <t>清部　実栞</t>
    <rPh sb="0" eb="2">
      <t>セイベ</t>
    </rPh>
    <rPh sb="3" eb="4">
      <t>ミノル</t>
    </rPh>
    <rPh sb="4" eb="5">
      <t>シオリ</t>
    </rPh>
    <phoneticPr fontId="4"/>
  </si>
  <si>
    <t>新婦がロリータ系衣装持込　来年４月か10月予定　顔合わせ８月</t>
    <rPh sb="0" eb="2">
      <t>シンプ</t>
    </rPh>
    <rPh sb="7" eb="8">
      <t>ケイ</t>
    </rPh>
    <rPh sb="8" eb="10">
      <t>イショウ</t>
    </rPh>
    <rPh sb="10" eb="12">
      <t>モチコミ</t>
    </rPh>
    <rPh sb="13" eb="15">
      <t>ライネン</t>
    </rPh>
    <rPh sb="16" eb="17">
      <t>ガツ</t>
    </rPh>
    <rPh sb="20" eb="21">
      <t>ガツ</t>
    </rPh>
    <rPh sb="21" eb="23">
      <t>ヨテイ</t>
    </rPh>
    <rPh sb="24" eb="26">
      <t>カオア</t>
    </rPh>
    <rPh sb="29" eb="30">
      <t>ガツ</t>
    </rPh>
    <phoneticPr fontId="4"/>
  </si>
  <si>
    <t>𠮷田　基伸</t>
    <rPh sb="2" eb="3">
      <t>タ</t>
    </rPh>
    <rPh sb="4" eb="6">
      <t>モトノブ</t>
    </rPh>
    <phoneticPr fontId="4"/>
  </si>
  <si>
    <t>新郎白山　新婦富山射水 出身　大安希望　自社HPより　自然いっぱい緑が好き</t>
    <rPh sb="0" eb="2">
      <t>シンロウ</t>
    </rPh>
    <rPh sb="2" eb="4">
      <t>ハクサン</t>
    </rPh>
    <rPh sb="5" eb="7">
      <t>シンプ</t>
    </rPh>
    <rPh sb="7" eb="9">
      <t>トヤマ</t>
    </rPh>
    <rPh sb="9" eb="11">
      <t>イミズ</t>
    </rPh>
    <rPh sb="12" eb="14">
      <t>シュッシン</t>
    </rPh>
    <rPh sb="15" eb="17">
      <t>タイアン</t>
    </rPh>
    <rPh sb="17" eb="19">
      <t>キボウ</t>
    </rPh>
    <rPh sb="20" eb="22">
      <t>ジシャ</t>
    </rPh>
    <rPh sb="27" eb="29">
      <t>シゼン</t>
    </rPh>
    <rPh sb="33" eb="34">
      <t>ミドリ</t>
    </rPh>
    <rPh sb="35" eb="36">
      <t>ス</t>
    </rPh>
    <phoneticPr fontId="4"/>
  </si>
  <si>
    <t>島　佑輔</t>
    <rPh sb="0" eb="1">
      <t>シマ</t>
    </rPh>
    <rPh sb="2" eb="4">
      <t>ユウスケ</t>
    </rPh>
    <phoneticPr fontId="4"/>
  </si>
  <si>
    <t>安宅　くるみ</t>
    <rPh sb="0" eb="2">
      <t>アタカ</t>
    </rPh>
    <phoneticPr fontId="4"/>
  </si>
  <si>
    <t>鈴木 日登美</t>
    <phoneticPr fontId="4"/>
  </si>
  <si>
    <t>千葉県より</t>
    <rPh sb="0" eb="3">
      <t>チバケン</t>
    </rPh>
    <phoneticPr fontId="4"/>
  </si>
  <si>
    <t>宮下　優也</t>
    <rPh sb="0" eb="2">
      <t>ミヤシタ</t>
    </rPh>
    <rPh sb="3" eb="4">
      <t>ユウ</t>
    </rPh>
    <rPh sb="4" eb="5">
      <t>ヤ</t>
    </rPh>
    <phoneticPr fontId="4"/>
  </si>
  <si>
    <t>中村　逸紀</t>
    <rPh sb="0" eb="2">
      <t>ナカムラ</t>
    </rPh>
    <rPh sb="3" eb="4">
      <t>イツ</t>
    </rPh>
    <rPh sb="4" eb="5">
      <t>キ</t>
    </rPh>
    <phoneticPr fontId="4"/>
  </si>
  <si>
    <t>食品池田君の紹介。フォトのみorフォト＋挙式を検討。予算最重視。写真を残したい。時期未定入籍は今年の9月なので1年以内で検討</t>
    <rPh sb="0" eb="2">
      <t>ショクヒン</t>
    </rPh>
    <rPh sb="2" eb="4">
      <t>イケダ</t>
    </rPh>
    <rPh sb="4" eb="5">
      <t>クン</t>
    </rPh>
    <rPh sb="6" eb="8">
      <t>ショウカイ</t>
    </rPh>
    <rPh sb="20" eb="22">
      <t>キョシキ</t>
    </rPh>
    <rPh sb="23" eb="25">
      <t>ケントウ</t>
    </rPh>
    <rPh sb="26" eb="31">
      <t>ヨサンサイジュウシ</t>
    </rPh>
    <rPh sb="32" eb="34">
      <t>シャシン</t>
    </rPh>
    <rPh sb="35" eb="36">
      <t>ノコ</t>
    </rPh>
    <rPh sb="40" eb="44">
      <t>ジキミテイ</t>
    </rPh>
    <rPh sb="44" eb="46">
      <t>ニュウセキ</t>
    </rPh>
    <rPh sb="47" eb="49">
      <t>コトシ</t>
    </rPh>
    <rPh sb="51" eb="52">
      <t>ガツ</t>
    </rPh>
    <rPh sb="56" eb="59">
      <t>ネンイナイ</t>
    </rPh>
    <rPh sb="60" eb="62">
      <t>ケントウ</t>
    </rPh>
    <phoneticPr fontId="4"/>
  </si>
  <si>
    <t>おおみかずき</t>
    <phoneticPr fontId="4"/>
  </si>
  <si>
    <t>おおみふみえ</t>
    <phoneticPr fontId="4"/>
  </si>
  <si>
    <t>米永大起</t>
    <phoneticPr fontId="4"/>
  </si>
  <si>
    <t>奥成　真志　</t>
    <rPh sb="0" eb="2">
      <t>オクナリ</t>
    </rPh>
    <rPh sb="3" eb="4">
      <t>マ</t>
    </rPh>
    <rPh sb="4" eb="5">
      <t>シ</t>
    </rPh>
    <phoneticPr fontId="4"/>
  </si>
  <si>
    <t>奥成　尚美</t>
    <rPh sb="0" eb="2">
      <t>オクナリ</t>
    </rPh>
    <rPh sb="3" eb="5">
      <t>ナオミ</t>
    </rPh>
    <phoneticPr fontId="4"/>
  </si>
  <si>
    <t>大人なお2人。式のみは区切りとして行うが披露宴までするべきか？コロナもあるし会食やWPで検討中。見積もり3パターン提示。シフト制。昨年2件程会場を回っている、今年初見学</t>
    <rPh sb="0" eb="2">
      <t>オトナ</t>
    </rPh>
    <rPh sb="4" eb="6">
      <t>フタリ</t>
    </rPh>
    <rPh sb="7" eb="8">
      <t>シキ</t>
    </rPh>
    <rPh sb="11" eb="13">
      <t>クギ</t>
    </rPh>
    <rPh sb="17" eb="18">
      <t>オコナ</t>
    </rPh>
    <rPh sb="20" eb="23">
      <t>ヒロウエン</t>
    </rPh>
    <rPh sb="38" eb="40">
      <t>カイショク</t>
    </rPh>
    <rPh sb="44" eb="47">
      <t>ケントウチュウ</t>
    </rPh>
    <rPh sb="48" eb="50">
      <t>ミツ</t>
    </rPh>
    <rPh sb="57" eb="59">
      <t>テイジ</t>
    </rPh>
    <rPh sb="63" eb="64">
      <t>セイ</t>
    </rPh>
    <rPh sb="65" eb="67">
      <t>サクネン</t>
    </rPh>
    <rPh sb="68" eb="69">
      <t>ケン</t>
    </rPh>
    <rPh sb="69" eb="70">
      <t>ホド</t>
    </rPh>
    <rPh sb="70" eb="72">
      <t>カイジョウ</t>
    </rPh>
    <rPh sb="73" eb="74">
      <t>マワ</t>
    </rPh>
    <rPh sb="79" eb="81">
      <t>コトシ</t>
    </rPh>
    <rPh sb="81" eb="82">
      <t>ハツ</t>
    </rPh>
    <rPh sb="82" eb="84">
      <t>ケンガク</t>
    </rPh>
    <phoneticPr fontId="4"/>
  </si>
  <si>
    <t>7/19郎より電話にて。日程ブッキングの件は新郎が納めてくれた。6/28見積り説明(Zoomにて)好感触。仮予約だが郎両親への確認が必要。Zoom新規　高知在住(婦実家)(郎富山)、農薬作製会社、美容師、親族のみ、家族からのお声で検討</t>
    <rPh sb="4" eb="5">
      <t>ロウ</t>
    </rPh>
    <rPh sb="7" eb="9">
      <t>デンワ</t>
    </rPh>
    <rPh sb="12" eb="14">
      <t>ニッテイ</t>
    </rPh>
    <rPh sb="20" eb="21">
      <t>ケン</t>
    </rPh>
    <rPh sb="22" eb="24">
      <t>シンロウ</t>
    </rPh>
    <rPh sb="25" eb="26">
      <t>オサ</t>
    </rPh>
    <rPh sb="36" eb="38">
      <t>ミツモ</t>
    </rPh>
    <rPh sb="39" eb="41">
      <t>セツメイ</t>
    </rPh>
    <rPh sb="49" eb="52">
      <t>コウカンショク</t>
    </rPh>
    <rPh sb="53" eb="56">
      <t>カリヨヤク</t>
    </rPh>
    <rPh sb="58" eb="59">
      <t>ロウ</t>
    </rPh>
    <rPh sb="59" eb="61">
      <t>リョウシン</t>
    </rPh>
    <rPh sb="63" eb="65">
      <t>カクニン</t>
    </rPh>
    <rPh sb="66" eb="68">
      <t>ヒツヨウ</t>
    </rPh>
    <rPh sb="73" eb="75">
      <t>シンキ</t>
    </rPh>
    <rPh sb="76" eb="78">
      <t>コウチ</t>
    </rPh>
    <rPh sb="78" eb="80">
      <t>ザイジュウ</t>
    </rPh>
    <rPh sb="81" eb="82">
      <t>フ</t>
    </rPh>
    <rPh sb="82" eb="84">
      <t>ジッカ</t>
    </rPh>
    <rPh sb="86" eb="87">
      <t>ロウ</t>
    </rPh>
    <rPh sb="87" eb="89">
      <t>トヤマ</t>
    </rPh>
    <rPh sb="91" eb="93">
      <t>ノウヤク</t>
    </rPh>
    <rPh sb="93" eb="95">
      <t>サクセイ</t>
    </rPh>
    <rPh sb="95" eb="97">
      <t>ガイシャ</t>
    </rPh>
    <rPh sb="98" eb="101">
      <t>ビヨウシ</t>
    </rPh>
    <rPh sb="102" eb="104">
      <t>シンゾク</t>
    </rPh>
    <rPh sb="107" eb="109">
      <t>カゾク</t>
    </rPh>
    <rPh sb="113" eb="114">
      <t>コエ</t>
    </rPh>
    <rPh sb="115" eb="117">
      <t>ケントウ</t>
    </rPh>
    <phoneticPr fontId="4"/>
  </si>
  <si>
    <t>北山　勇佑</t>
    <rPh sb="0" eb="2">
      <t>キタヤマ</t>
    </rPh>
    <rPh sb="3" eb="5">
      <t>ユウスケ</t>
    </rPh>
    <phoneticPr fontId="4"/>
  </si>
  <si>
    <t>北山　楓佳</t>
    <rPh sb="0" eb="2">
      <t>キタヤマ</t>
    </rPh>
    <rPh sb="3" eb="5">
      <t>フウカ</t>
    </rPh>
    <phoneticPr fontId="4"/>
  </si>
  <si>
    <t>山形　由希</t>
    <rPh sb="0" eb="2">
      <t>ヤマガタ</t>
    </rPh>
    <rPh sb="3" eb="5">
      <t>ユキ</t>
    </rPh>
    <phoneticPr fontId="4"/>
  </si>
  <si>
    <t>竹中　佑太朗</t>
    <rPh sb="0" eb="2">
      <t>タケナカ</t>
    </rPh>
    <rPh sb="3" eb="6">
      <t>ユウタロウ</t>
    </rPh>
    <phoneticPr fontId="4"/>
  </si>
  <si>
    <t>山本　千尋</t>
    <rPh sb="0" eb="2">
      <t>ヤマモト</t>
    </rPh>
    <rPh sb="3" eb="5">
      <t>チヒロ</t>
    </rPh>
    <phoneticPr fontId="4"/>
  </si>
  <si>
    <t>竹田　瑞希</t>
    <rPh sb="0" eb="2">
      <t>タケダ</t>
    </rPh>
    <rPh sb="3" eb="5">
      <t>ミズキ</t>
    </rPh>
    <phoneticPr fontId="4"/>
  </si>
  <si>
    <t>鞠山　佳奈</t>
    <rPh sb="0" eb="2">
      <t>マリヤマ</t>
    </rPh>
    <rPh sb="3" eb="5">
      <t>カナ</t>
    </rPh>
    <phoneticPr fontId="4"/>
  </si>
  <si>
    <t>フォト＋会食を検討。土日の年内希望。フォトが優先なのでフォトのみを秋の平日でするかも。</t>
    <rPh sb="4" eb="6">
      <t>カイショク</t>
    </rPh>
    <rPh sb="7" eb="9">
      <t>ケントウ</t>
    </rPh>
    <rPh sb="10" eb="12">
      <t>ドニチ</t>
    </rPh>
    <rPh sb="13" eb="15">
      <t>ネンナイ</t>
    </rPh>
    <rPh sb="15" eb="17">
      <t>キボウ</t>
    </rPh>
    <rPh sb="22" eb="24">
      <t>ユウセン</t>
    </rPh>
    <rPh sb="33" eb="34">
      <t>アキ</t>
    </rPh>
    <rPh sb="35" eb="37">
      <t>ヘイジツ</t>
    </rPh>
    <phoneticPr fontId="4"/>
  </si>
  <si>
    <t>吉田　拓未</t>
    <rPh sb="0" eb="2">
      <t>ヨシダ</t>
    </rPh>
    <rPh sb="3" eb="5">
      <t>タクミ</t>
    </rPh>
    <phoneticPr fontId="4"/>
  </si>
  <si>
    <t>俄 結婚スタイルマガジンより。披露宴までの堅苦しいものでは無く、もう少し気軽に集まれるパーティを希望(ｳｴﾙｶﾑﾊﾟｰﾃｨ？)。式＋WP(友人)＋会食(親族)</t>
    <rPh sb="0" eb="1">
      <t>ニワカ</t>
    </rPh>
    <rPh sb="2" eb="4">
      <t>ケッコン</t>
    </rPh>
    <rPh sb="15" eb="18">
      <t>ヒロウエン</t>
    </rPh>
    <rPh sb="21" eb="23">
      <t>カタクル</t>
    </rPh>
    <rPh sb="29" eb="30">
      <t>ナ</t>
    </rPh>
    <rPh sb="34" eb="35">
      <t>スコ</t>
    </rPh>
    <rPh sb="36" eb="38">
      <t>キガル</t>
    </rPh>
    <rPh sb="39" eb="40">
      <t>アツ</t>
    </rPh>
    <rPh sb="48" eb="50">
      <t>キボウ</t>
    </rPh>
    <rPh sb="64" eb="65">
      <t>シキ</t>
    </rPh>
    <rPh sb="69" eb="71">
      <t>ユウジン</t>
    </rPh>
    <rPh sb="73" eb="75">
      <t>カイショク</t>
    </rPh>
    <rPh sb="76" eb="78">
      <t>シンゾク</t>
    </rPh>
    <phoneticPr fontId="4"/>
  </si>
  <si>
    <t>野沢　葉月</t>
    <rPh sb="0" eb="2">
      <t>ノザワ</t>
    </rPh>
    <rPh sb="3" eb="5">
      <t>ハヅキ</t>
    </rPh>
    <phoneticPr fontId="4"/>
  </si>
  <si>
    <t>富山の二人。うもれぎ亭と競合。親族のみでアットホームなレストランWを検討。</t>
    <rPh sb="0" eb="2">
      <t>トヤマ</t>
    </rPh>
    <rPh sb="3" eb="5">
      <t>フタリ</t>
    </rPh>
    <rPh sb="10" eb="11">
      <t>テイ</t>
    </rPh>
    <rPh sb="12" eb="14">
      <t>キョウゴウ</t>
    </rPh>
    <rPh sb="15" eb="17">
      <t>シンゾク</t>
    </rPh>
    <rPh sb="34" eb="36">
      <t>ケントウ</t>
    </rPh>
    <phoneticPr fontId="4"/>
  </si>
  <si>
    <t>みつ和紹介。静かな2人。こだわり少ない。ﾛｹｰｼｮﾝ重視で5月で仮。</t>
    <rPh sb="2" eb="3">
      <t>ワ</t>
    </rPh>
    <rPh sb="3" eb="5">
      <t>ショウカイ</t>
    </rPh>
    <rPh sb="6" eb="7">
      <t>シズ</t>
    </rPh>
    <rPh sb="10" eb="11">
      <t>ヒト</t>
    </rPh>
    <rPh sb="16" eb="17">
      <t>スク</t>
    </rPh>
    <rPh sb="26" eb="28">
      <t>ジュウシ</t>
    </rPh>
    <rPh sb="30" eb="31">
      <t>ガツ</t>
    </rPh>
    <rPh sb="32" eb="33">
      <t>カリ</t>
    </rPh>
    <phoneticPr fontId="4"/>
  </si>
  <si>
    <t>みつ和紹介。アークをキャンセル。出産後。アットホームに和やかに。婦の実家が森本。</t>
    <rPh sb="2" eb="3">
      <t>ワ</t>
    </rPh>
    <rPh sb="3" eb="5">
      <t>ショウカイ</t>
    </rPh>
    <rPh sb="16" eb="19">
      <t>シュッサンゴ</t>
    </rPh>
    <rPh sb="27" eb="28">
      <t>ナゴ</t>
    </rPh>
    <rPh sb="32" eb="33">
      <t>フ</t>
    </rPh>
    <rPh sb="34" eb="36">
      <t>ジッカ</t>
    </rPh>
    <rPh sb="37" eb="39">
      <t>モリモト</t>
    </rPh>
    <phoneticPr fontId="4"/>
  </si>
  <si>
    <t>吉田　洸</t>
    <rPh sb="0" eb="2">
      <t>ヨシダ</t>
    </rPh>
    <rPh sb="3" eb="4">
      <t>ヒカル</t>
    </rPh>
    <phoneticPr fontId="4"/>
  </si>
  <si>
    <t>石の教会で9/22挙式予定　新婦親族のみ20名でお披露目会</t>
    <rPh sb="0" eb="1">
      <t>イシ</t>
    </rPh>
    <rPh sb="2" eb="4">
      <t>キョウカイ</t>
    </rPh>
    <rPh sb="9" eb="11">
      <t>キョシキ</t>
    </rPh>
    <rPh sb="11" eb="13">
      <t>ヨテイ</t>
    </rPh>
    <rPh sb="14" eb="18">
      <t>シンプシンゾク</t>
    </rPh>
    <rPh sb="22" eb="23">
      <t>メイ</t>
    </rPh>
    <rPh sb="25" eb="29">
      <t>ヒロメカイ</t>
    </rPh>
    <phoneticPr fontId="4"/>
  </si>
  <si>
    <t>西村てつや</t>
    <rPh sb="0" eb="2">
      <t>ニシムラ</t>
    </rPh>
    <phoneticPr fontId="4"/>
  </si>
  <si>
    <t>中川　ほのか</t>
    <rPh sb="0" eb="2">
      <t>ナカガワ</t>
    </rPh>
    <phoneticPr fontId="4"/>
  </si>
  <si>
    <t>郎両親飛び込みで来館　カフェお食事ついでに　見積もり・日程提示</t>
    <rPh sb="0" eb="1">
      <t>ロウ</t>
    </rPh>
    <rPh sb="1" eb="3">
      <t>リョウシン</t>
    </rPh>
    <rPh sb="3" eb="4">
      <t>ト</t>
    </rPh>
    <rPh sb="5" eb="6">
      <t>コ</t>
    </rPh>
    <rPh sb="8" eb="10">
      <t>ライカン</t>
    </rPh>
    <rPh sb="15" eb="17">
      <t>ショクジ</t>
    </rPh>
    <rPh sb="22" eb="24">
      <t>ミツ</t>
    </rPh>
    <rPh sb="27" eb="29">
      <t>ニッテイ</t>
    </rPh>
    <rPh sb="29" eb="31">
      <t>テイジ</t>
    </rPh>
    <phoneticPr fontId="4"/>
  </si>
  <si>
    <t>パパママフェア</t>
  </si>
  <si>
    <t>三浦　要</t>
    <rPh sb="0" eb="2">
      <t>ミウラ</t>
    </rPh>
    <rPh sb="3" eb="4">
      <t>カナメ</t>
    </rPh>
    <phoneticPr fontId="4"/>
  </si>
  <si>
    <t>出村　知子</t>
    <rPh sb="0" eb="2">
      <t>デムラ</t>
    </rPh>
    <rPh sb="3" eb="5">
      <t>トモコ</t>
    </rPh>
    <phoneticPr fontId="4"/>
  </si>
  <si>
    <t>新郎新婦小矢部(新郎愛媛、新婦氷見)4月に転職の為、3月までにしたかったが、ロケーション重視で時期検討</t>
    <rPh sb="0" eb="4">
      <t>シンロウシンプ</t>
    </rPh>
    <rPh sb="4" eb="7">
      <t>オヤベ</t>
    </rPh>
    <rPh sb="8" eb="12">
      <t>シンロウエヒメ</t>
    </rPh>
    <rPh sb="13" eb="15">
      <t>シンプ</t>
    </rPh>
    <rPh sb="15" eb="17">
      <t>ヒミ</t>
    </rPh>
    <rPh sb="19" eb="20">
      <t>ガツ</t>
    </rPh>
    <rPh sb="21" eb="23">
      <t>テンショク</t>
    </rPh>
    <rPh sb="24" eb="25">
      <t>タメ</t>
    </rPh>
    <rPh sb="27" eb="28">
      <t>ガツ</t>
    </rPh>
    <rPh sb="44" eb="46">
      <t>ジュウシ</t>
    </rPh>
    <rPh sb="47" eb="51">
      <t>ジキケントウ</t>
    </rPh>
    <phoneticPr fontId="4"/>
  </si>
  <si>
    <t>山﨑　結奈</t>
    <rPh sb="0" eb="2">
      <t>ヤマザキ</t>
    </rPh>
    <rPh sb="3" eb="4">
      <t>ユ</t>
    </rPh>
    <rPh sb="4" eb="5">
      <t>ナ</t>
    </rPh>
    <phoneticPr fontId="4"/>
  </si>
  <si>
    <t>ルバンケ</t>
    <phoneticPr fontId="4"/>
  </si>
  <si>
    <t>嶋ひらり</t>
    <rPh sb="0" eb="1">
      <t>シマ</t>
    </rPh>
    <phoneticPr fontId="4"/>
  </si>
  <si>
    <t>榊原　萩子</t>
    <rPh sb="0" eb="2">
      <t>サカキバラ</t>
    </rPh>
    <rPh sb="3" eb="5">
      <t>ハギコ</t>
    </rPh>
    <phoneticPr fontId="4"/>
  </si>
  <si>
    <t>大鋸谷　拡史</t>
    <rPh sb="0" eb="1">
      <t>ダイ</t>
    </rPh>
    <rPh sb="1" eb="2">
      <t>ノコギリ</t>
    </rPh>
    <rPh sb="2" eb="3">
      <t>タニ</t>
    </rPh>
    <rPh sb="4" eb="5">
      <t>ヒロム</t>
    </rPh>
    <rPh sb="5" eb="6">
      <t>シ</t>
    </rPh>
    <phoneticPr fontId="4"/>
  </si>
  <si>
    <t>北川　祐子</t>
    <rPh sb="0" eb="2">
      <t>キタガワ</t>
    </rPh>
    <rPh sb="3" eb="5">
      <t>ユウコ</t>
    </rPh>
    <phoneticPr fontId="4"/>
  </si>
  <si>
    <t>水野夢野</t>
    <rPh sb="0" eb="2">
      <t>ミズノ</t>
    </rPh>
    <rPh sb="2" eb="4">
      <t>ユメノ</t>
    </rPh>
    <phoneticPr fontId="4"/>
  </si>
  <si>
    <t>山下千佳</t>
    <phoneticPr fontId="4"/>
  </si>
  <si>
    <t>北村　響子</t>
    <phoneticPr fontId="4"/>
  </si>
  <si>
    <t>白井大也</t>
    <rPh sb="0" eb="2">
      <t>シライ</t>
    </rPh>
    <rPh sb="2" eb="3">
      <t>ダイ</t>
    </rPh>
    <rPh sb="3" eb="4">
      <t>ヤ</t>
    </rPh>
    <phoneticPr fontId="4"/>
  </si>
  <si>
    <t>深谷　静</t>
    <rPh sb="0" eb="2">
      <t>フカタニ</t>
    </rPh>
    <rPh sb="3" eb="4">
      <t>セイ</t>
    </rPh>
    <phoneticPr fontId="4"/>
  </si>
  <si>
    <t>長谷川　巧</t>
    <phoneticPr fontId="4"/>
  </si>
  <si>
    <t>丸山　めぐみ</t>
    <rPh sb="0" eb="2">
      <t>マルヤマ</t>
    </rPh>
    <phoneticPr fontId="4"/>
  </si>
  <si>
    <t>辻澤嶺花</t>
    <phoneticPr fontId="4"/>
  </si>
  <si>
    <t>4/20延期(７月→１０月へ) 2022/8/13延期連絡あり</t>
    <rPh sb="4" eb="6">
      <t>エンキ</t>
    </rPh>
    <rPh sb="8" eb="9">
      <t>ガツ</t>
    </rPh>
    <rPh sb="12" eb="13">
      <t>ガツ</t>
    </rPh>
    <rPh sb="25" eb="27">
      <t>エンキ</t>
    </rPh>
    <rPh sb="27" eb="29">
      <t>レンラク</t>
    </rPh>
    <phoneticPr fontId="4"/>
  </si>
  <si>
    <t>山下康太</t>
    <rPh sb="0" eb="2">
      <t>ヤマシタ</t>
    </rPh>
    <rPh sb="2" eb="4">
      <t>コウタ</t>
    </rPh>
    <phoneticPr fontId="4"/>
  </si>
  <si>
    <t>新郎金沢、新婦福井、富山在住。式のみorフォト婚で検討中。時期未定(半年以内)、熱量低めで検討進まず。</t>
    <rPh sb="0" eb="2">
      <t>シンロウ</t>
    </rPh>
    <rPh sb="2" eb="4">
      <t>カナザワ</t>
    </rPh>
    <rPh sb="5" eb="7">
      <t>シンプ</t>
    </rPh>
    <rPh sb="7" eb="9">
      <t>フクイ</t>
    </rPh>
    <rPh sb="10" eb="12">
      <t>トヤマ</t>
    </rPh>
    <rPh sb="12" eb="14">
      <t>ザイジュウ</t>
    </rPh>
    <rPh sb="15" eb="16">
      <t>シキ</t>
    </rPh>
    <rPh sb="23" eb="24">
      <t>コン</t>
    </rPh>
    <rPh sb="25" eb="28">
      <t>ケントウチュウ</t>
    </rPh>
    <rPh sb="29" eb="33">
      <t>ジキミテイ</t>
    </rPh>
    <rPh sb="34" eb="38">
      <t>ハントシイナイ</t>
    </rPh>
    <rPh sb="40" eb="43">
      <t>ネツリョウヒク</t>
    </rPh>
    <rPh sb="45" eb="48">
      <t>ケントウスス</t>
    </rPh>
    <phoneticPr fontId="4"/>
  </si>
  <si>
    <t>高島　崚</t>
    <phoneticPr fontId="4"/>
  </si>
  <si>
    <t>インスタDMの人。7か月乳児。七尾在住。出産前に親族のみ予定でフラワー見学済。予算・雰囲気重視。ぶどうの森で考えて下さってはいるが予算的に貯金の期間が必要で再来年で検討。</t>
    <rPh sb="7" eb="8">
      <t>ヒト</t>
    </rPh>
    <rPh sb="11" eb="12">
      <t>ゲツ</t>
    </rPh>
    <rPh sb="12" eb="14">
      <t>ニュウジ</t>
    </rPh>
    <rPh sb="15" eb="19">
      <t>ナナオザイジュウ</t>
    </rPh>
    <rPh sb="20" eb="23">
      <t>シュッサンマエ</t>
    </rPh>
    <rPh sb="24" eb="26">
      <t>シンゾク</t>
    </rPh>
    <rPh sb="28" eb="30">
      <t>ヨテイ</t>
    </rPh>
    <rPh sb="35" eb="38">
      <t>ケンガクスミ</t>
    </rPh>
    <rPh sb="39" eb="41">
      <t>ヨサン</t>
    </rPh>
    <rPh sb="42" eb="45">
      <t>フンイキ</t>
    </rPh>
    <rPh sb="45" eb="47">
      <t>ジュウシ</t>
    </rPh>
    <rPh sb="52" eb="53">
      <t>モリ</t>
    </rPh>
    <rPh sb="54" eb="55">
      <t>カンガ</t>
    </rPh>
    <rPh sb="57" eb="58">
      <t>クダ</t>
    </rPh>
    <rPh sb="65" eb="67">
      <t>ヨサン</t>
    </rPh>
    <rPh sb="67" eb="68">
      <t>テキ</t>
    </rPh>
    <rPh sb="69" eb="71">
      <t>チョキン</t>
    </rPh>
    <rPh sb="72" eb="74">
      <t>キカン</t>
    </rPh>
    <rPh sb="75" eb="77">
      <t>ヒツヨウ</t>
    </rPh>
    <rPh sb="78" eb="81">
      <t>サライネン</t>
    </rPh>
    <rPh sb="82" eb="84">
      <t>ケントウ</t>
    </rPh>
    <phoneticPr fontId="4"/>
  </si>
  <si>
    <t>中嶋信治</t>
    <rPh sb="0" eb="2">
      <t>ナカジマ</t>
    </rPh>
    <rPh sb="2" eb="4">
      <t>ノブハル</t>
    </rPh>
    <phoneticPr fontId="4"/>
  </si>
  <si>
    <t>8/16キャンセル希望。写真撮りのご提案中。6/26郎より改めて開催の申し出。6/22キャンセルのお申し出。理由：破談。4/12来館。挙式＋宴＋2次会にて決定。／ルシエル堀先生の娘さん。ぶどうの木でやりたい！と思ってくれていた。お祝いをいただいてしまったので、どのような形にすればよいか悩んでいる</t>
    <rPh sb="9" eb="11">
      <t>キボウ</t>
    </rPh>
    <rPh sb="12" eb="15">
      <t>シャシンド</t>
    </rPh>
    <rPh sb="18" eb="20">
      <t>テイアン</t>
    </rPh>
    <rPh sb="20" eb="21">
      <t>チュウ</t>
    </rPh>
    <rPh sb="26" eb="27">
      <t>ロウ</t>
    </rPh>
    <rPh sb="29" eb="30">
      <t>アラタ</t>
    </rPh>
    <rPh sb="32" eb="34">
      <t>カイサイ</t>
    </rPh>
    <rPh sb="35" eb="36">
      <t>モウ</t>
    </rPh>
    <rPh sb="37" eb="38">
      <t>デ</t>
    </rPh>
    <rPh sb="50" eb="51">
      <t>モウ</t>
    </rPh>
    <rPh sb="52" eb="53">
      <t>デ</t>
    </rPh>
    <rPh sb="54" eb="56">
      <t>リユウ</t>
    </rPh>
    <rPh sb="57" eb="59">
      <t>ハダン</t>
    </rPh>
    <rPh sb="64" eb="66">
      <t>ライカン</t>
    </rPh>
    <rPh sb="67" eb="69">
      <t>キョシキ</t>
    </rPh>
    <rPh sb="70" eb="71">
      <t>エン</t>
    </rPh>
    <rPh sb="73" eb="75">
      <t>ジカイ</t>
    </rPh>
    <rPh sb="77" eb="79">
      <t>ケッテイ</t>
    </rPh>
    <rPh sb="85" eb="86">
      <t>ホリ</t>
    </rPh>
    <rPh sb="86" eb="88">
      <t>センセイ</t>
    </rPh>
    <rPh sb="89" eb="90">
      <t>ムスメ</t>
    </rPh>
    <rPh sb="97" eb="98">
      <t>キ</t>
    </rPh>
    <rPh sb="105" eb="106">
      <t>オモ</t>
    </rPh>
    <rPh sb="115" eb="116">
      <t>イワ</t>
    </rPh>
    <rPh sb="135" eb="136">
      <t>カタチ</t>
    </rPh>
    <rPh sb="143" eb="144">
      <t>ナヤ</t>
    </rPh>
    <phoneticPr fontId="4"/>
  </si>
  <si>
    <t>髙木　優</t>
    <rPh sb="0" eb="2">
      <t>タカギ</t>
    </rPh>
    <rPh sb="3" eb="4">
      <t>ユウ</t>
    </rPh>
    <phoneticPr fontId="4"/>
  </si>
  <si>
    <t>水野雄太</t>
    <rPh sb="0" eb="2">
      <t>ミズノ</t>
    </rPh>
    <rPh sb="2" eb="4">
      <t>ユウタ</t>
    </rPh>
    <phoneticPr fontId="4"/>
  </si>
  <si>
    <t>予算重視　かほく市在住　入籍済み　HPプラン見てる</t>
    <rPh sb="0" eb="4">
      <t>ヨサンジュウシ</t>
    </rPh>
    <rPh sb="8" eb="9">
      <t>シ</t>
    </rPh>
    <rPh sb="9" eb="11">
      <t>ザイジュウ</t>
    </rPh>
    <rPh sb="12" eb="15">
      <t>ニュウセキズ</t>
    </rPh>
    <rPh sb="22" eb="23">
      <t>ミ</t>
    </rPh>
    <phoneticPr fontId="4"/>
  </si>
  <si>
    <t>フラワーで他決　予算が安かった　新郎横浜。新婦小松。式（友人含む）+カフェでのお食事会（親族のみ）小2のお子さん（のぞみちゃん）いらっしゃる。</t>
    <rPh sb="16" eb="18">
      <t>シンロウ</t>
    </rPh>
    <rPh sb="18" eb="20">
      <t>ヨコハマ</t>
    </rPh>
    <rPh sb="21" eb="23">
      <t>シンプ</t>
    </rPh>
    <rPh sb="23" eb="25">
      <t>コマツ</t>
    </rPh>
    <rPh sb="26" eb="27">
      <t>シキ</t>
    </rPh>
    <rPh sb="28" eb="31">
      <t>ユウジンフク</t>
    </rPh>
    <rPh sb="40" eb="43">
      <t>ショクジカイ</t>
    </rPh>
    <rPh sb="44" eb="46">
      <t>シンゾク</t>
    </rPh>
    <rPh sb="49" eb="50">
      <t>ショウ</t>
    </rPh>
    <rPh sb="53" eb="54">
      <t>コ</t>
    </rPh>
    <phoneticPr fontId="4"/>
  </si>
  <si>
    <t>細口　翔子</t>
    <rPh sb="0" eb="2">
      <t>ホソグチ</t>
    </rPh>
    <rPh sb="3" eb="5">
      <t>ショウコ</t>
    </rPh>
    <phoneticPr fontId="4"/>
  </si>
  <si>
    <t>2人はするつもりなかったけど、親の意見で検討スタート。式＋カジュアルパーティ。もしくは会食＋式＋カジュアルパーティ。お勉強。時期未定(早くて年内、遅くて2年後…子供が出来てから)ぶどうでするなら季節の良いときが良い！</t>
    <rPh sb="1" eb="2">
      <t>ヒト</t>
    </rPh>
    <rPh sb="15" eb="16">
      <t>オヤ</t>
    </rPh>
    <rPh sb="17" eb="19">
      <t>イケン</t>
    </rPh>
    <rPh sb="20" eb="22">
      <t>ケントウ</t>
    </rPh>
    <rPh sb="27" eb="29">
      <t>シキタス</t>
    </rPh>
    <rPh sb="43" eb="45">
      <t>カイショク</t>
    </rPh>
    <rPh sb="46" eb="47">
      <t>シキ</t>
    </rPh>
    <rPh sb="59" eb="61">
      <t>ベンキョウ</t>
    </rPh>
    <rPh sb="62" eb="66">
      <t>ジキミテイ</t>
    </rPh>
    <rPh sb="67" eb="68">
      <t>ハヤ</t>
    </rPh>
    <rPh sb="70" eb="72">
      <t>ネンナイ</t>
    </rPh>
    <rPh sb="73" eb="74">
      <t>オソ</t>
    </rPh>
    <rPh sb="77" eb="79">
      <t>ネンゴ</t>
    </rPh>
    <rPh sb="80" eb="82">
      <t>コドモ</t>
    </rPh>
    <rPh sb="83" eb="85">
      <t>デキ</t>
    </rPh>
    <rPh sb="97" eb="99">
      <t>キセツ</t>
    </rPh>
    <rPh sb="100" eb="101">
      <t>ヨ</t>
    </rPh>
    <rPh sb="105" eb="106">
      <t>ヨ</t>
    </rPh>
    <phoneticPr fontId="4"/>
  </si>
  <si>
    <t>他決(アルカン)。チャペルがハウスみたい。新郎出身関西、新婦金沢、同棲している。虫とか嫌そうな感じ。ハーフ食べた。ぶどうJおいしい！予算めっちゃ質問あり。</t>
    <rPh sb="0" eb="2">
      <t>タケツ</t>
    </rPh>
    <rPh sb="21" eb="23">
      <t>シンロウ</t>
    </rPh>
    <rPh sb="23" eb="25">
      <t>シュッシン</t>
    </rPh>
    <rPh sb="25" eb="27">
      <t>カンサイ</t>
    </rPh>
    <rPh sb="28" eb="30">
      <t>シンプ</t>
    </rPh>
    <rPh sb="30" eb="32">
      <t>カナザワ</t>
    </rPh>
    <rPh sb="33" eb="35">
      <t>ドウセイ</t>
    </rPh>
    <rPh sb="40" eb="41">
      <t>ムシ</t>
    </rPh>
    <rPh sb="43" eb="44">
      <t>イヤ</t>
    </rPh>
    <rPh sb="47" eb="48">
      <t>カン</t>
    </rPh>
    <rPh sb="53" eb="54">
      <t>タ</t>
    </rPh>
    <rPh sb="66" eb="68">
      <t>ヨサン</t>
    </rPh>
    <rPh sb="72" eb="74">
      <t>シツモン</t>
    </rPh>
    <phoneticPr fontId="4"/>
  </si>
  <si>
    <t>飛込みで次回詳しくお伺い予定　朗：魚津　婦：砺波出身　1件目：ララシャンス富山で成約済　来年8.9月で検討　良いお日柄で土曜日・夕方から夜にかけて希望</t>
    <rPh sb="0" eb="2">
      <t>トビコ</t>
    </rPh>
    <rPh sb="4" eb="6">
      <t>ジカイ</t>
    </rPh>
    <rPh sb="6" eb="7">
      <t>クワ</t>
    </rPh>
    <rPh sb="10" eb="11">
      <t>ウカガ</t>
    </rPh>
    <rPh sb="12" eb="14">
      <t>ヨテイ</t>
    </rPh>
    <rPh sb="15" eb="16">
      <t>ロウ</t>
    </rPh>
    <rPh sb="17" eb="19">
      <t>ウオヅ</t>
    </rPh>
    <rPh sb="20" eb="21">
      <t>フ</t>
    </rPh>
    <rPh sb="22" eb="24">
      <t>トナミ</t>
    </rPh>
    <rPh sb="24" eb="26">
      <t>シュッシン</t>
    </rPh>
    <rPh sb="28" eb="30">
      <t>ケンメ</t>
    </rPh>
    <rPh sb="37" eb="39">
      <t>トヤマ</t>
    </rPh>
    <rPh sb="40" eb="43">
      <t>セイヤクスミ</t>
    </rPh>
    <rPh sb="44" eb="46">
      <t>ライネン</t>
    </rPh>
    <rPh sb="49" eb="50">
      <t>ガツ</t>
    </rPh>
    <rPh sb="51" eb="53">
      <t>ケントウ</t>
    </rPh>
    <rPh sb="54" eb="55">
      <t>イ</t>
    </rPh>
    <rPh sb="57" eb="59">
      <t>ヒガラ</t>
    </rPh>
    <rPh sb="60" eb="63">
      <t>ドヨウビ</t>
    </rPh>
    <rPh sb="64" eb="66">
      <t>ユウガタ</t>
    </rPh>
    <rPh sb="68" eb="69">
      <t>ヨル</t>
    </rPh>
    <rPh sb="73" eb="75">
      <t>キボウ</t>
    </rPh>
    <phoneticPr fontId="4"/>
  </si>
  <si>
    <t xml:space="preserve"> 竹内　怜衣</t>
    <phoneticPr fontId="4"/>
  </si>
  <si>
    <t>東方勇司</t>
    <rPh sb="0" eb="2">
      <t>ヒガシカタ</t>
    </rPh>
    <rPh sb="2" eb="3">
      <t>ユウ</t>
    </rPh>
    <rPh sb="3" eb="4">
      <t>ツカサ</t>
    </rPh>
    <phoneticPr fontId="4"/>
  </si>
  <si>
    <t>東方真美</t>
    <rPh sb="0" eb="2">
      <t>ヒガシカタ</t>
    </rPh>
    <rPh sb="2" eb="4">
      <t>マミ</t>
    </rPh>
    <phoneticPr fontId="4"/>
  </si>
  <si>
    <t>婿入り　小松在住　ガーデンキリスト希望　家族と友人でカジュアルに</t>
    <rPh sb="0" eb="2">
      <t>ムコイ</t>
    </rPh>
    <rPh sb="4" eb="6">
      <t>コマツ</t>
    </rPh>
    <rPh sb="6" eb="8">
      <t>ザイジュウ</t>
    </rPh>
    <rPh sb="17" eb="19">
      <t>キボウ</t>
    </rPh>
    <rPh sb="20" eb="22">
      <t>カゾク</t>
    </rPh>
    <rPh sb="23" eb="25">
      <t>ユウジン</t>
    </rPh>
    <phoneticPr fontId="4"/>
  </si>
  <si>
    <t>みつ和紹介　新郎新婦金沢出身　大安・友引希望　新郎目立ちたくない、新婦結婚式への憧れ強め。ヴィラに行く予定。8/28試食で再来→親御様に確認するために再度仮予約</t>
    <rPh sb="2" eb="3">
      <t>ワ</t>
    </rPh>
    <rPh sb="3" eb="5">
      <t>ショウカイ</t>
    </rPh>
    <rPh sb="6" eb="10">
      <t>シンロウシンプ</t>
    </rPh>
    <rPh sb="10" eb="12">
      <t>カナザワ</t>
    </rPh>
    <rPh sb="12" eb="14">
      <t>シュッシン</t>
    </rPh>
    <rPh sb="15" eb="17">
      <t>タイアン</t>
    </rPh>
    <rPh sb="18" eb="20">
      <t>トモビキ</t>
    </rPh>
    <rPh sb="20" eb="22">
      <t>キボウ</t>
    </rPh>
    <rPh sb="23" eb="25">
      <t>シンロウ</t>
    </rPh>
    <rPh sb="25" eb="27">
      <t>メダ</t>
    </rPh>
    <rPh sb="33" eb="35">
      <t>シンプ</t>
    </rPh>
    <rPh sb="35" eb="38">
      <t>ケッコンシキ</t>
    </rPh>
    <rPh sb="40" eb="41">
      <t>アコガ</t>
    </rPh>
    <rPh sb="42" eb="43">
      <t>ツヨ</t>
    </rPh>
    <rPh sb="49" eb="50">
      <t>イ</t>
    </rPh>
    <rPh sb="51" eb="53">
      <t>ヨテイ</t>
    </rPh>
    <rPh sb="58" eb="60">
      <t>シショク</t>
    </rPh>
    <rPh sb="61" eb="63">
      <t>サイライ</t>
    </rPh>
    <rPh sb="64" eb="67">
      <t>オヤゴサマ</t>
    </rPh>
    <rPh sb="68" eb="70">
      <t>カクニン</t>
    </rPh>
    <rPh sb="75" eb="77">
      <t>サイド</t>
    </rPh>
    <rPh sb="77" eb="78">
      <t>カリ</t>
    </rPh>
    <rPh sb="78" eb="80">
      <t>ヨヤク</t>
    </rPh>
    <phoneticPr fontId="4"/>
  </si>
  <si>
    <t>松本　三生</t>
    <rPh sb="0" eb="2">
      <t>マツモト</t>
    </rPh>
    <rPh sb="3" eb="4">
      <t>サン</t>
    </rPh>
    <rPh sb="4" eb="5">
      <t>ウ</t>
    </rPh>
    <phoneticPr fontId="4"/>
  </si>
  <si>
    <t>小此内糸浦</t>
    <rPh sb="0" eb="1">
      <t>コ</t>
    </rPh>
    <rPh sb="1" eb="3">
      <t>コレウチ</t>
    </rPh>
    <rPh sb="3" eb="4">
      <t>イト</t>
    </rPh>
    <rPh sb="4" eb="5">
      <t>ウラ</t>
    </rPh>
    <phoneticPr fontId="4"/>
  </si>
  <si>
    <t>北村　彰</t>
    <rPh sb="0" eb="2">
      <t>キタムラ</t>
    </rPh>
    <rPh sb="3" eb="4">
      <t>アキラ</t>
    </rPh>
    <phoneticPr fontId="4"/>
  </si>
  <si>
    <t>ANAも見学済み。各業態に行ってみたかった。家族へのお披露目。式とケーキ位の食事会。トネル50万で提案。資料請求→来館予約</t>
    <rPh sb="4" eb="7">
      <t>ケンガクズ</t>
    </rPh>
    <rPh sb="9" eb="10">
      <t>カク</t>
    </rPh>
    <rPh sb="10" eb="12">
      <t>ギョウタイ</t>
    </rPh>
    <rPh sb="13" eb="14">
      <t>イ</t>
    </rPh>
    <rPh sb="22" eb="24">
      <t>カゾク</t>
    </rPh>
    <rPh sb="27" eb="30">
      <t>ヒロメ</t>
    </rPh>
    <rPh sb="31" eb="32">
      <t>シキ</t>
    </rPh>
    <rPh sb="36" eb="37">
      <t>グライ</t>
    </rPh>
    <rPh sb="38" eb="41">
      <t>ショクジカイ</t>
    </rPh>
    <rPh sb="47" eb="48">
      <t>マン</t>
    </rPh>
    <rPh sb="49" eb="51">
      <t>テイアン</t>
    </rPh>
    <rPh sb="52" eb="56">
      <t>シリョウセイキュウ</t>
    </rPh>
    <rPh sb="57" eb="61">
      <t>ライカンヨヤク</t>
    </rPh>
    <phoneticPr fontId="4"/>
  </si>
  <si>
    <t>渡辺　俊介</t>
    <rPh sb="0" eb="2">
      <t>ワタナベ</t>
    </rPh>
    <rPh sb="3" eb="5">
      <t>シュンスケ</t>
    </rPh>
    <phoneticPr fontId="4"/>
  </si>
  <si>
    <t>高原　美月</t>
    <rPh sb="0" eb="2">
      <t>タカハラ</t>
    </rPh>
    <rPh sb="3" eb="5">
      <t>ミヅキ</t>
    </rPh>
    <phoneticPr fontId="4"/>
  </si>
  <si>
    <t>ｱﾝﾍﾙﾊｰﾄ紹介。再来9/6。試食と再見積もり。ポールボキューズと迷ったけど、会場はここにする。雰囲気重視で6月で仮予約。一旦仮は外す8/16。新郎南砺、新婦金沢。郎実家が床屋なので月曜。式＋αぐらいでなるべく予算を抑えたい。カフェも見せたけど貸切が良い。。</t>
    <rPh sb="7" eb="9">
      <t>ショウカイ</t>
    </rPh>
    <rPh sb="10" eb="12">
      <t>サイライ</t>
    </rPh>
    <rPh sb="16" eb="18">
      <t>シショク</t>
    </rPh>
    <rPh sb="19" eb="22">
      <t>サイミツ</t>
    </rPh>
    <rPh sb="34" eb="35">
      <t>マヨ</t>
    </rPh>
    <rPh sb="40" eb="42">
      <t>カイジョウ</t>
    </rPh>
    <rPh sb="49" eb="54">
      <t>フンイキジュウシ</t>
    </rPh>
    <rPh sb="56" eb="57">
      <t>ガツ</t>
    </rPh>
    <rPh sb="58" eb="61">
      <t>カリヨヤク</t>
    </rPh>
    <rPh sb="62" eb="64">
      <t>イッタン</t>
    </rPh>
    <rPh sb="64" eb="65">
      <t>カリ</t>
    </rPh>
    <rPh sb="66" eb="67">
      <t>ハズ</t>
    </rPh>
    <rPh sb="73" eb="75">
      <t>シンロウ</t>
    </rPh>
    <rPh sb="75" eb="77">
      <t>ナント</t>
    </rPh>
    <rPh sb="78" eb="80">
      <t>シンプ</t>
    </rPh>
    <rPh sb="80" eb="82">
      <t>カナザワ</t>
    </rPh>
    <rPh sb="83" eb="86">
      <t>ロウジッカ</t>
    </rPh>
    <rPh sb="87" eb="89">
      <t>トコヤ</t>
    </rPh>
    <rPh sb="92" eb="94">
      <t>ゲツヨウ</t>
    </rPh>
    <rPh sb="95" eb="96">
      <t>シキ</t>
    </rPh>
    <rPh sb="106" eb="108">
      <t>ヨサン</t>
    </rPh>
    <rPh sb="109" eb="110">
      <t>オサ</t>
    </rPh>
    <rPh sb="118" eb="119">
      <t>ミ</t>
    </rPh>
    <rPh sb="123" eb="125">
      <t>カシキリ</t>
    </rPh>
    <rPh sb="126" eb="127">
      <t>ヨ</t>
    </rPh>
    <phoneticPr fontId="4"/>
  </si>
  <si>
    <t>石黒奨人</t>
    <rPh sb="0" eb="2">
      <t>イシクロ</t>
    </rPh>
    <rPh sb="2" eb="3">
      <t>ショウ</t>
    </rPh>
    <rPh sb="3" eb="4">
      <t>ヒト</t>
    </rPh>
    <phoneticPr fontId="4"/>
  </si>
  <si>
    <t>新村　未都</t>
    <rPh sb="0" eb="2">
      <t>シンムラ</t>
    </rPh>
    <rPh sb="3" eb="4">
      <t>ミ</t>
    </rPh>
    <rPh sb="4" eb="5">
      <t>ミヤコ</t>
    </rPh>
    <phoneticPr fontId="4"/>
  </si>
  <si>
    <t>おおはた</t>
    <phoneticPr fontId="4"/>
  </si>
  <si>
    <t>他決(ヴィラ)。新郎志賀町、新婦金沢出身。親族のみの式+お食事会。今年10/11月の大安平日希望。</t>
    <rPh sb="0" eb="2">
      <t>タケツ</t>
    </rPh>
    <rPh sb="8" eb="10">
      <t>シンロウ</t>
    </rPh>
    <rPh sb="10" eb="13">
      <t>シカマチ</t>
    </rPh>
    <rPh sb="14" eb="16">
      <t>シンプ</t>
    </rPh>
    <rPh sb="16" eb="18">
      <t>カナザワ</t>
    </rPh>
    <rPh sb="18" eb="20">
      <t>シュッシン</t>
    </rPh>
    <rPh sb="21" eb="23">
      <t>シンゾク</t>
    </rPh>
    <rPh sb="26" eb="27">
      <t>シキ</t>
    </rPh>
    <rPh sb="29" eb="32">
      <t>ショクジカイ</t>
    </rPh>
    <rPh sb="33" eb="35">
      <t>コトシ</t>
    </rPh>
    <rPh sb="40" eb="41">
      <t>ガツ</t>
    </rPh>
    <rPh sb="42" eb="44">
      <t>タイアン</t>
    </rPh>
    <rPh sb="44" eb="48">
      <t>ヘイジツキボウ</t>
    </rPh>
    <phoneticPr fontId="4"/>
  </si>
  <si>
    <t>佐瀬悠輔</t>
    <rPh sb="0" eb="2">
      <t>サセ</t>
    </rPh>
    <rPh sb="2" eb="3">
      <t>ユウ</t>
    </rPh>
    <rPh sb="3" eb="4">
      <t>スケ</t>
    </rPh>
    <phoneticPr fontId="4"/>
  </si>
  <si>
    <t>河尻　友希</t>
    <rPh sb="0" eb="2">
      <t>カワジリ</t>
    </rPh>
    <rPh sb="3" eb="4">
      <t>トモ</t>
    </rPh>
    <phoneticPr fontId="4"/>
  </si>
  <si>
    <t>大家　友飛</t>
    <rPh sb="0" eb="2">
      <t>オオイエ</t>
    </rPh>
    <rPh sb="3" eb="4">
      <t>トモ</t>
    </rPh>
    <rPh sb="4" eb="5">
      <t>ト</t>
    </rPh>
    <phoneticPr fontId="4"/>
  </si>
  <si>
    <t>奥野　成美</t>
    <rPh sb="0" eb="2">
      <t>オクノ</t>
    </rPh>
    <rPh sb="3" eb="5">
      <t>ナルミ</t>
    </rPh>
    <phoneticPr fontId="4"/>
  </si>
  <si>
    <t>有江　晴花</t>
    <rPh sb="0" eb="1">
      <t>ユウ</t>
    </rPh>
    <rPh sb="1" eb="2">
      <t>エ</t>
    </rPh>
    <rPh sb="3" eb="4">
      <t>ハレ</t>
    </rPh>
    <rPh sb="4" eb="5">
      <t>ハナ</t>
    </rPh>
    <phoneticPr fontId="4"/>
  </si>
  <si>
    <t>小坂理佐子</t>
    <phoneticPr fontId="4"/>
  </si>
  <si>
    <t>加茂野真冬</t>
    <rPh sb="0" eb="1">
      <t>カ</t>
    </rPh>
    <rPh sb="1" eb="2">
      <t>モ</t>
    </rPh>
    <rPh sb="2" eb="3">
      <t>ノ</t>
    </rPh>
    <rPh sb="3" eb="5">
      <t>マフユ</t>
    </rPh>
    <phoneticPr fontId="4"/>
  </si>
  <si>
    <t>加茂野久華緑</t>
    <rPh sb="0" eb="1">
      <t>カ</t>
    </rPh>
    <rPh sb="1" eb="3">
      <t>モノ</t>
    </rPh>
    <rPh sb="3" eb="4">
      <t>ヒサ</t>
    </rPh>
    <rPh sb="4" eb="5">
      <t>ハナ</t>
    </rPh>
    <rPh sb="5" eb="6">
      <t>ミドリ</t>
    </rPh>
    <phoneticPr fontId="4"/>
  </si>
  <si>
    <t>川下　和樹</t>
    <rPh sb="0" eb="2">
      <t>カワシタ</t>
    </rPh>
    <rPh sb="3" eb="4">
      <t>カズ</t>
    </rPh>
    <rPh sb="4" eb="5">
      <t>キ</t>
    </rPh>
    <phoneticPr fontId="4"/>
  </si>
  <si>
    <t>池田生馬</t>
    <rPh sb="0" eb="2">
      <t>イケダ</t>
    </rPh>
    <rPh sb="2" eb="4">
      <t>イクマ</t>
    </rPh>
    <phoneticPr fontId="4"/>
  </si>
  <si>
    <t>池田いおり</t>
    <rPh sb="0" eb="2">
      <t>イケダ</t>
    </rPh>
    <phoneticPr fontId="4"/>
  </si>
  <si>
    <t>お子様あり　来年秋３連休初日希望　</t>
    <rPh sb="1" eb="3">
      <t>コサマ</t>
    </rPh>
    <rPh sb="6" eb="8">
      <t>ライネン</t>
    </rPh>
    <rPh sb="8" eb="9">
      <t>アキ</t>
    </rPh>
    <rPh sb="10" eb="12">
      <t>レンキュウ</t>
    </rPh>
    <rPh sb="12" eb="14">
      <t>ショニチ</t>
    </rPh>
    <rPh sb="14" eb="16">
      <t>キボウ</t>
    </rPh>
    <phoneticPr fontId="4"/>
  </si>
  <si>
    <t>小坂和生</t>
    <rPh sb="0" eb="2">
      <t>コサカ</t>
    </rPh>
    <rPh sb="2" eb="4">
      <t>カズオ</t>
    </rPh>
    <phoneticPr fontId="4"/>
  </si>
  <si>
    <t>来年５月予定　８０名様で広く使える会場を希望</t>
    <rPh sb="0" eb="2">
      <t>ライネン</t>
    </rPh>
    <rPh sb="3" eb="4">
      <t>ガツ</t>
    </rPh>
    <rPh sb="4" eb="6">
      <t>ヨテイ</t>
    </rPh>
    <rPh sb="9" eb="11">
      <t>メイサマ</t>
    </rPh>
    <rPh sb="12" eb="13">
      <t>ヒロ</t>
    </rPh>
    <rPh sb="14" eb="15">
      <t>ツカ</t>
    </rPh>
    <rPh sb="17" eb="19">
      <t>カイジョウ</t>
    </rPh>
    <rPh sb="20" eb="22">
      <t>キボウ</t>
    </rPh>
    <phoneticPr fontId="4"/>
  </si>
  <si>
    <t>今年秋日程合わず　フォトのみ　事前に電話で問い合わせあり</t>
    <rPh sb="0" eb="2">
      <t>コトシ</t>
    </rPh>
    <rPh sb="2" eb="3">
      <t>アキ</t>
    </rPh>
    <rPh sb="3" eb="6">
      <t>ニッテイア</t>
    </rPh>
    <rPh sb="15" eb="17">
      <t>ジゼン</t>
    </rPh>
    <rPh sb="18" eb="20">
      <t>デンワ</t>
    </rPh>
    <rPh sb="21" eb="22">
      <t>ト</t>
    </rPh>
    <rPh sb="23" eb="24">
      <t>ア</t>
    </rPh>
    <phoneticPr fontId="4"/>
  </si>
  <si>
    <t>髙林湧水</t>
    <phoneticPr fontId="4"/>
  </si>
  <si>
    <t>9330857 富山県高岡市木津631-1コウリッチ105号</t>
    <phoneticPr fontId="4"/>
  </si>
  <si>
    <t>田辺　満里菜</t>
    <rPh sb="0" eb="2">
      <t>タナベ</t>
    </rPh>
    <rPh sb="3" eb="4">
      <t>マン</t>
    </rPh>
    <rPh sb="4" eb="5">
      <t>サト</t>
    </rPh>
    <rPh sb="5" eb="6">
      <t>ナ</t>
    </rPh>
    <phoneticPr fontId="4"/>
  </si>
  <si>
    <t>荒木美穂</t>
    <rPh sb="0" eb="2">
      <t>アラキ</t>
    </rPh>
    <rPh sb="2" eb="4">
      <t>ミホ</t>
    </rPh>
    <phoneticPr fontId="4"/>
  </si>
  <si>
    <t>村上美沙貴</t>
    <rPh sb="0" eb="2">
      <t>ムラカミ</t>
    </rPh>
    <rPh sb="2" eb="5">
      <t>ミサキ</t>
    </rPh>
    <phoneticPr fontId="4"/>
  </si>
  <si>
    <t>9/10来館希望だったが2022/9/9体調不良のため来館キャンセル　9/18午後でご提案　後日ご連絡あるかも</t>
    <rPh sb="4" eb="8">
      <t>ライカンキボウ</t>
    </rPh>
    <rPh sb="20" eb="24">
      <t>タイチョウフリョウ</t>
    </rPh>
    <rPh sb="27" eb="29">
      <t>ライカン</t>
    </rPh>
    <rPh sb="39" eb="41">
      <t>ゴゴ</t>
    </rPh>
    <rPh sb="43" eb="45">
      <t>テイアン</t>
    </rPh>
    <rPh sb="46" eb="48">
      <t>ゴジツ</t>
    </rPh>
    <rPh sb="49" eb="51">
      <t>レンラク</t>
    </rPh>
    <phoneticPr fontId="4"/>
  </si>
  <si>
    <t>9/14来館希望だったが9/13体調不良のためキャンセル　アフロディーテ紹介　衣装持込</t>
    <rPh sb="4" eb="8">
      <t>ライカンキボウ</t>
    </rPh>
    <rPh sb="16" eb="20">
      <t>タイチョウフリョウ</t>
    </rPh>
    <rPh sb="36" eb="38">
      <t>ショウカイ</t>
    </rPh>
    <rPh sb="39" eb="43">
      <t>イショウモチコミ</t>
    </rPh>
    <phoneticPr fontId="4"/>
  </si>
  <si>
    <t>ちい婚で2021/6月式→東急ホテルで親族のみ会食→友人と二次会予定が2人目妊娠&amp;コロナで延期　ぶどうの森では式+WP(友人含む）→会食(親族のみ）希望</t>
    <rPh sb="2" eb="3">
      <t>コン</t>
    </rPh>
    <rPh sb="10" eb="11">
      <t>ガツ</t>
    </rPh>
    <rPh sb="11" eb="12">
      <t>シキ</t>
    </rPh>
    <rPh sb="13" eb="15">
      <t>トウキュウ</t>
    </rPh>
    <rPh sb="19" eb="21">
      <t>シンゾク</t>
    </rPh>
    <rPh sb="23" eb="25">
      <t>カイショク</t>
    </rPh>
    <rPh sb="26" eb="28">
      <t>ユウジン</t>
    </rPh>
    <rPh sb="29" eb="32">
      <t>ニジカイ</t>
    </rPh>
    <rPh sb="32" eb="34">
      <t>ヨテイ</t>
    </rPh>
    <rPh sb="36" eb="38">
      <t>ニンメ</t>
    </rPh>
    <rPh sb="38" eb="40">
      <t>ニンシン</t>
    </rPh>
    <rPh sb="45" eb="47">
      <t>エンキ</t>
    </rPh>
    <rPh sb="52" eb="53">
      <t>モリ</t>
    </rPh>
    <rPh sb="55" eb="56">
      <t>シキ</t>
    </rPh>
    <rPh sb="60" eb="63">
      <t>ユウジンフク</t>
    </rPh>
    <rPh sb="66" eb="68">
      <t>カイショク</t>
    </rPh>
    <rPh sb="69" eb="71">
      <t>シンゾク</t>
    </rPh>
    <rPh sb="74" eb="76">
      <t>キボウ</t>
    </rPh>
    <phoneticPr fontId="4"/>
  </si>
  <si>
    <t>施工希望日</t>
    <rPh sb="0" eb="2">
      <t>セコウ</t>
    </rPh>
    <rPh sb="2" eb="5">
      <t>キボウビ</t>
    </rPh>
    <rPh sb="4" eb="5">
      <t>b</t>
    </rPh>
    <phoneticPr fontId="4"/>
  </si>
  <si>
    <t>砂上知輝</t>
    <rPh sb="0" eb="1">
      <t>スナ</t>
    </rPh>
    <rPh sb="1" eb="2">
      <t>ウエ</t>
    </rPh>
    <rPh sb="2" eb="4">
      <t>トモテル</t>
    </rPh>
    <phoneticPr fontId="4"/>
  </si>
  <si>
    <t>吉田　竜輔</t>
    <rPh sb="0" eb="2">
      <t>ヨシダ</t>
    </rPh>
    <rPh sb="3" eb="4">
      <t>リュウ</t>
    </rPh>
    <rPh sb="4" eb="5">
      <t>スケ</t>
    </rPh>
    <phoneticPr fontId="4"/>
  </si>
  <si>
    <t>砂　千晶</t>
    <rPh sb="0" eb="1">
      <t>スナ</t>
    </rPh>
    <rPh sb="2" eb="3">
      <t>セン</t>
    </rPh>
    <rPh sb="3" eb="4">
      <t>アキラ</t>
    </rPh>
    <phoneticPr fontId="4"/>
  </si>
  <si>
    <t>中川力斗</t>
    <rPh sb="0" eb="2">
      <t>ナカガワ</t>
    </rPh>
    <rPh sb="2" eb="3">
      <t>チカラ</t>
    </rPh>
    <rPh sb="3" eb="4">
      <t>ト</t>
    </rPh>
    <phoneticPr fontId="4"/>
  </si>
  <si>
    <t>中川優奈</t>
    <rPh sb="0" eb="2">
      <t>ナカガワ</t>
    </rPh>
    <rPh sb="2" eb="3">
      <t>ユウ</t>
    </rPh>
    <rPh sb="3" eb="4">
      <t>ナ</t>
    </rPh>
    <phoneticPr fontId="4"/>
  </si>
  <si>
    <t>髙橋隆太</t>
    <rPh sb="0" eb="2">
      <t>タカハシ</t>
    </rPh>
    <rPh sb="2" eb="4">
      <t>リュウタ</t>
    </rPh>
    <phoneticPr fontId="4"/>
  </si>
  <si>
    <t>髙橋亮子</t>
    <rPh sb="0" eb="2">
      <t>タカハシ</t>
    </rPh>
    <rPh sb="2" eb="3">
      <t>アキラ</t>
    </rPh>
    <rPh sb="3" eb="4">
      <t>コ</t>
    </rPh>
    <phoneticPr fontId="4"/>
  </si>
  <si>
    <t>新郎不在　友人と来館　４月～７月土曜日希望　見積もり未提示</t>
    <rPh sb="0" eb="4">
      <t>シンロウフザイ</t>
    </rPh>
    <rPh sb="5" eb="7">
      <t>ユウジン</t>
    </rPh>
    <rPh sb="8" eb="10">
      <t>ライカン</t>
    </rPh>
    <rPh sb="12" eb="13">
      <t>ガツ</t>
    </rPh>
    <rPh sb="15" eb="16">
      <t>ガツ</t>
    </rPh>
    <rPh sb="16" eb="19">
      <t>ドヨウヒ</t>
    </rPh>
    <rPh sb="19" eb="21">
      <t>キボウ</t>
    </rPh>
    <rPh sb="22" eb="24">
      <t>ミツ</t>
    </rPh>
    <rPh sb="26" eb="29">
      <t>ミテイジ</t>
    </rPh>
    <phoneticPr fontId="4"/>
  </si>
  <si>
    <t>村上祐輔</t>
    <rPh sb="0" eb="2">
      <t>ムラカミ</t>
    </rPh>
    <rPh sb="2" eb="3">
      <t>ユウ</t>
    </rPh>
    <rPh sb="3" eb="4">
      <t>スケ</t>
    </rPh>
    <phoneticPr fontId="4"/>
  </si>
  <si>
    <t>新郎北海道出身、新婦金沢出身、妊婦臨月。コロナ前に婦の希望で北海道の会場を契約。そこから延期続きで現在は2023年８月で会場押さえ済み。だが、子供が出来ることもあり、打合せ等を考えると金沢が良いかも。ゲストも金沢が少し多い。雰囲気重視。北海道かぶどうの2択。1月までに決定する。</t>
    <rPh sb="0" eb="2">
      <t>シンロウ</t>
    </rPh>
    <rPh sb="2" eb="5">
      <t>ホッカイドウ</t>
    </rPh>
    <rPh sb="5" eb="7">
      <t>シュッシン</t>
    </rPh>
    <rPh sb="8" eb="10">
      <t>シンプ</t>
    </rPh>
    <rPh sb="10" eb="14">
      <t>カナザワシュッシン</t>
    </rPh>
    <rPh sb="15" eb="17">
      <t>ニンプ</t>
    </rPh>
    <rPh sb="17" eb="19">
      <t>リンゲツ</t>
    </rPh>
    <rPh sb="23" eb="24">
      <t>マエ</t>
    </rPh>
    <rPh sb="25" eb="26">
      <t>フ</t>
    </rPh>
    <rPh sb="27" eb="29">
      <t>キボウ</t>
    </rPh>
    <rPh sb="30" eb="33">
      <t>ホッカイドウ</t>
    </rPh>
    <rPh sb="34" eb="36">
      <t>カイジョウ</t>
    </rPh>
    <rPh sb="37" eb="39">
      <t>ケイヤク</t>
    </rPh>
    <rPh sb="44" eb="46">
      <t>エンキ</t>
    </rPh>
    <rPh sb="46" eb="47">
      <t>ツヅ</t>
    </rPh>
    <rPh sb="49" eb="51">
      <t>ゲンザイ</t>
    </rPh>
    <rPh sb="56" eb="57">
      <t>ネン</t>
    </rPh>
    <rPh sb="58" eb="59">
      <t>ガツ</t>
    </rPh>
    <rPh sb="60" eb="63">
      <t>カイジョウオ</t>
    </rPh>
    <rPh sb="65" eb="66">
      <t>ズ</t>
    </rPh>
    <rPh sb="71" eb="73">
      <t>コドモ</t>
    </rPh>
    <rPh sb="74" eb="76">
      <t>デキ</t>
    </rPh>
    <rPh sb="83" eb="85">
      <t>ウチアワ</t>
    </rPh>
    <rPh sb="86" eb="87">
      <t>トウ</t>
    </rPh>
    <rPh sb="88" eb="89">
      <t>カンガ</t>
    </rPh>
    <rPh sb="92" eb="94">
      <t>カナザワ</t>
    </rPh>
    <rPh sb="95" eb="96">
      <t>ヨ</t>
    </rPh>
    <rPh sb="104" eb="106">
      <t>カナザワ</t>
    </rPh>
    <rPh sb="107" eb="108">
      <t>スコ</t>
    </rPh>
    <rPh sb="109" eb="110">
      <t>オオ</t>
    </rPh>
    <rPh sb="112" eb="115">
      <t>フンイキ</t>
    </rPh>
    <rPh sb="115" eb="117">
      <t>ジュウシ</t>
    </rPh>
    <rPh sb="118" eb="121">
      <t>ホッカイドウ</t>
    </rPh>
    <rPh sb="127" eb="128">
      <t>タク</t>
    </rPh>
    <rPh sb="130" eb="131">
      <t>ガツ</t>
    </rPh>
    <rPh sb="134" eb="136">
      <t>ケッテイ</t>
    </rPh>
    <phoneticPr fontId="4"/>
  </si>
  <si>
    <t>中嶋　悠人</t>
    <rPh sb="0" eb="2">
      <t>ナカシマ</t>
    </rPh>
    <rPh sb="3" eb="4">
      <t>ユウ</t>
    </rPh>
    <rPh sb="4" eb="5">
      <t>ヒト</t>
    </rPh>
    <phoneticPr fontId="4"/>
  </si>
  <si>
    <t>中山　花音</t>
    <rPh sb="0" eb="2">
      <t>ナカヤマ</t>
    </rPh>
    <rPh sb="3" eb="5">
      <t>カノン</t>
    </rPh>
    <phoneticPr fontId="4"/>
  </si>
  <si>
    <t>他決(ラグナ)。1人で来られる　婦姉2015/10/8婚礼有→姉の紹介でご来館　こだわりたい　新郎新婦津幡出身・在住</t>
    <rPh sb="0" eb="2">
      <t>タケツ</t>
    </rPh>
    <rPh sb="9" eb="10">
      <t>ニン</t>
    </rPh>
    <rPh sb="11" eb="12">
      <t>コ</t>
    </rPh>
    <rPh sb="16" eb="17">
      <t>フ</t>
    </rPh>
    <rPh sb="17" eb="18">
      <t>アネ</t>
    </rPh>
    <rPh sb="27" eb="29">
      <t>コンレイ</t>
    </rPh>
    <rPh sb="29" eb="30">
      <t>アリ</t>
    </rPh>
    <rPh sb="31" eb="32">
      <t>アネ</t>
    </rPh>
    <rPh sb="33" eb="35">
      <t>ショウカイ</t>
    </rPh>
    <rPh sb="37" eb="39">
      <t>ライカン</t>
    </rPh>
    <rPh sb="47" eb="51">
      <t>シンロウシンプ</t>
    </rPh>
    <rPh sb="51" eb="53">
      <t>ツバタ</t>
    </rPh>
    <rPh sb="53" eb="55">
      <t>シュッシン</t>
    </rPh>
    <rPh sb="56" eb="58">
      <t>ザイジュウ</t>
    </rPh>
    <phoneticPr fontId="4"/>
  </si>
  <si>
    <t>新郎不在　司会の友人と来館　来年２月～３月　愛知県在住　LINE問い合わせあり　資料請求もあり　俄予約</t>
    <rPh sb="0" eb="4">
      <t>シンロウフザイ</t>
    </rPh>
    <rPh sb="5" eb="7">
      <t>シカイ</t>
    </rPh>
    <rPh sb="8" eb="10">
      <t>ユウジン</t>
    </rPh>
    <rPh sb="11" eb="13">
      <t>ライカン</t>
    </rPh>
    <rPh sb="14" eb="16">
      <t>ライネン</t>
    </rPh>
    <rPh sb="17" eb="18">
      <t>ガツ</t>
    </rPh>
    <rPh sb="20" eb="21">
      <t>ガツ</t>
    </rPh>
    <rPh sb="22" eb="25">
      <t>アイチケン</t>
    </rPh>
    <rPh sb="25" eb="27">
      <t>ザイジュウ</t>
    </rPh>
    <rPh sb="32" eb="33">
      <t>ト</t>
    </rPh>
    <rPh sb="34" eb="35">
      <t>ア</t>
    </rPh>
    <rPh sb="40" eb="44">
      <t>シリョウセイキュウ</t>
    </rPh>
    <rPh sb="48" eb="49">
      <t>ニワカ</t>
    </rPh>
    <rPh sb="49" eb="51">
      <t>ヨヤク</t>
    </rPh>
    <phoneticPr fontId="4"/>
  </si>
  <si>
    <t>藤琴子</t>
    <phoneticPr fontId="4"/>
  </si>
  <si>
    <t>08086967775  fjko22_2@docomo.ne.jp</t>
    <phoneticPr fontId="4"/>
  </si>
  <si>
    <t>再来(恩道さん対応)成約、新郎 金沢、新婦 輪島出身　フォト+会食or挙式+会食で検討中→フォト+会食で決定　来春希望</t>
    <rPh sb="0" eb="2">
      <t>サイライ</t>
    </rPh>
    <rPh sb="3" eb="5">
      <t>オンドウ</t>
    </rPh>
    <rPh sb="7" eb="9">
      <t>タイオウ</t>
    </rPh>
    <rPh sb="10" eb="12">
      <t>セイヤク</t>
    </rPh>
    <rPh sb="13" eb="15">
      <t>シンロウ</t>
    </rPh>
    <rPh sb="16" eb="18">
      <t>カナザワ</t>
    </rPh>
    <rPh sb="19" eb="21">
      <t>シンプ</t>
    </rPh>
    <rPh sb="22" eb="24">
      <t>ワジマ</t>
    </rPh>
    <rPh sb="24" eb="26">
      <t>シュッシン</t>
    </rPh>
    <rPh sb="31" eb="33">
      <t>カイショク</t>
    </rPh>
    <rPh sb="35" eb="37">
      <t>キョシキ</t>
    </rPh>
    <rPh sb="38" eb="40">
      <t>カイショク</t>
    </rPh>
    <rPh sb="41" eb="44">
      <t>ケントウチュウ</t>
    </rPh>
    <rPh sb="49" eb="51">
      <t>カイショク</t>
    </rPh>
    <rPh sb="52" eb="54">
      <t>ケッテイ</t>
    </rPh>
    <rPh sb="55" eb="57">
      <t>ライハル</t>
    </rPh>
    <rPh sb="57" eb="59">
      <t>キボウ</t>
    </rPh>
    <phoneticPr fontId="4"/>
  </si>
  <si>
    <t>岡田　健斗</t>
    <rPh sb="0" eb="2">
      <t>オカダ</t>
    </rPh>
    <rPh sb="3" eb="4">
      <t>ケン</t>
    </rPh>
    <rPh sb="4" eb="5">
      <t>ト</t>
    </rPh>
    <phoneticPr fontId="4"/>
  </si>
  <si>
    <t>廣瀬　幸一</t>
    <phoneticPr fontId="4"/>
  </si>
  <si>
    <t>新郎新婦金沢出身　ぶどうの森での婦いとこの結婚式に参列され好印象でご来館　人数未定　時期9.10月</t>
    <phoneticPr fontId="4"/>
  </si>
  <si>
    <t>和田　達也</t>
    <rPh sb="0" eb="2">
      <t>ワダ</t>
    </rPh>
    <rPh sb="3" eb="5">
      <t>タツヤ</t>
    </rPh>
    <phoneticPr fontId="4"/>
  </si>
  <si>
    <t>山中　沙良</t>
    <rPh sb="0" eb="2">
      <t>ヤマナカ</t>
    </rPh>
    <rPh sb="3" eb="5">
      <t>サラ</t>
    </rPh>
    <phoneticPr fontId="4"/>
  </si>
  <si>
    <t>フラワーにて決定　新郎新潟　新婦富山出身　新郎が立地（駅近）を気にされている　リモート挙式検討中 11/13仮予約を11/19に変更　5/13新郎ひとりでフラワーガーデンに行く予定→新婦も一緒に見学に行かれた</t>
    <rPh sb="9" eb="11">
      <t>シンロウ</t>
    </rPh>
    <rPh sb="11" eb="13">
      <t>ニイガタ</t>
    </rPh>
    <rPh sb="14" eb="16">
      <t>シンプ</t>
    </rPh>
    <rPh sb="16" eb="18">
      <t>トヤマ</t>
    </rPh>
    <rPh sb="18" eb="20">
      <t>シュッシン</t>
    </rPh>
    <rPh sb="21" eb="23">
      <t>シンロウ</t>
    </rPh>
    <rPh sb="24" eb="26">
      <t>リッチ</t>
    </rPh>
    <rPh sb="27" eb="29">
      <t>エキチカ</t>
    </rPh>
    <rPh sb="31" eb="32">
      <t>キ</t>
    </rPh>
    <rPh sb="43" eb="45">
      <t>キョシキ</t>
    </rPh>
    <rPh sb="45" eb="48">
      <t>ケントウチュウ</t>
    </rPh>
    <rPh sb="54" eb="57">
      <t>カリヨヤク</t>
    </rPh>
    <rPh sb="64" eb="66">
      <t>ヘンコウ</t>
    </rPh>
    <rPh sb="71" eb="73">
      <t>シンロウ</t>
    </rPh>
    <rPh sb="86" eb="87">
      <t>イ</t>
    </rPh>
    <rPh sb="88" eb="90">
      <t>ヨテイ</t>
    </rPh>
    <rPh sb="91" eb="93">
      <t>シンプ</t>
    </rPh>
    <rPh sb="94" eb="96">
      <t>イッショ</t>
    </rPh>
    <rPh sb="97" eb="99">
      <t>ケンガク</t>
    </rPh>
    <rPh sb="100" eb="101">
      <t>イ</t>
    </rPh>
    <phoneticPr fontId="4"/>
  </si>
  <si>
    <t>他決(ディスティーノ)。新郎新婦共に石川出身　衣装(WD)持込希望　希望日程叶わず</t>
    <rPh sb="0" eb="2">
      <t>タケツ</t>
    </rPh>
    <rPh sb="12" eb="14">
      <t>シンロウ</t>
    </rPh>
    <rPh sb="14" eb="16">
      <t>シンプ</t>
    </rPh>
    <rPh sb="16" eb="17">
      <t>トモ</t>
    </rPh>
    <rPh sb="18" eb="20">
      <t>イシカワ</t>
    </rPh>
    <rPh sb="20" eb="22">
      <t>シュッシン</t>
    </rPh>
    <rPh sb="23" eb="25">
      <t>イショウ</t>
    </rPh>
    <rPh sb="29" eb="31">
      <t>モチコミ</t>
    </rPh>
    <rPh sb="31" eb="33">
      <t>キボウ</t>
    </rPh>
    <rPh sb="34" eb="36">
      <t>キボウ</t>
    </rPh>
    <rPh sb="36" eb="38">
      <t>ニッテイ</t>
    </rPh>
    <rPh sb="38" eb="39">
      <t>カナ</t>
    </rPh>
    <phoneticPr fontId="4"/>
  </si>
  <si>
    <t>他決(辻家)。ブラスポ　新郎金沢　新婦高岡出身　高岡在住　家族と友人で挙式+お食事会</t>
    <rPh sb="0" eb="2">
      <t>タケツ</t>
    </rPh>
    <rPh sb="3" eb="5">
      <t>ツジケ</t>
    </rPh>
    <rPh sb="12" eb="14">
      <t>シンロウ</t>
    </rPh>
    <rPh sb="14" eb="16">
      <t>カナザワ</t>
    </rPh>
    <rPh sb="17" eb="19">
      <t>シンプ</t>
    </rPh>
    <rPh sb="19" eb="21">
      <t>タカオカ</t>
    </rPh>
    <rPh sb="21" eb="23">
      <t>シュッシン</t>
    </rPh>
    <rPh sb="24" eb="28">
      <t>タカオカザイジュウ</t>
    </rPh>
    <rPh sb="29" eb="31">
      <t>カゾク</t>
    </rPh>
    <rPh sb="32" eb="34">
      <t>ユウジン</t>
    </rPh>
    <rPh sb="35" eb="37">
      <t>キョシキ</t>
    </rPh>
    <rPh sb="39" eb="42">
      <t>ショクジカイ</t>
    </rPh>
    <phoneticPr fontId="4"/>
  </si>
  <si>
    <t>吉村恵夢</t>
    <phoneticPr fontId="4"/>
  </si>
  <si>
    <t>08019539486  mm.mm.mm.mm@ezweb.ne.jp インスタで知った</t>
    <rPh sb="42" eb="43">
      <t>シ</t>
    </rPh>
    <phoneticPr fontId="4"/>
  </si>
  <si>
    <t>河合　浩平</t>
    <rPh sb="0" eb="2">
      <t>カワイ</t>
    </rPh>
    <rPh sb="3" eb="5">
      <t>コウヘイ</t>
    </rPh>
    <phoneticPr fontId="4"/>
  </si>
  <si>
    <t>神崎　愛美</t>
    <rPh sb="0" eb="2">
      <t>カンザキ</t>
    </rPh>
    <rPh sb="3" eb="5">
      <t>マナミ</t>
    </rPh>
    <phoneticPr fontId="4"/>
  </si>
  <si>
    <t>ZOOMにて対応　神奈川在住　郎実家/森本　2019年に東京で結婚式をする予定だったがコロナ等で延期　WD+CDでフォト済　12月8日来館予定</t>
    <rPh sb="6" eb="8">
      <t>タイオウ</t>
    </rPh>
    <rPh sb="9" eb="14">
      <t>カナガワザイジュウ</t>
    </rPh>
    <rPh sb="15" eb="18">
      <t>ロウジッカ</t>
    </rPh>
    <rPh sb="19" eb="21">
      <t>モリモト</t>
    </rPh>
    <rPh sb="26" eb="27">
      <t>ネン</t>
    </rPh>
    <rPh sb="28" eb="30">
      <t>トウキョウ</t>
    </rPh>
    <rPh sb="31" eb="34">
      <t>ケッコンシキ</t>
    </rPh>
    <rPh sb="37" eb="39">
      <t>ヨテイ</t>
    </rPh>
    <rPh sb="46" eb="47">
      <t>トウ</t>
    </rPh>
    <rPh sb="48" eb="50">
      <t>エンキ</t>
    </rPh>
    <rPh sb="60" eb="61">
      <t>スミ</t>
    </rPh>
    <rPh sb="64" eb="65">
      <t>ガツ</t>
    </rPh>
    <rPh sb="66" eb="67">
      <t>ニチ</t>
    </rPh>
    <rPh sb="67" eb="69">
      <t>ライカン</t>
    </rPh>
    <rPh sb="69" eb="71">
      <t>ヨテイ</t>
    </rPh>
    <phoneticPr fontId="4"/>
  </si>
  <si>
    <t>他決(ヴィクトリアグローブ)。ココカラ紹介　フォト＋会食/挙式+会食で検討中　予算重視だが雰囲気も大事　</t>
    <rPh sb="0" eb="2">
      <t>タケツ</t>
    </rPh>
    <rPh sb="19" eb="21">
      <t>ショウカイ</t>
    </rPh>
    <rPh sb="26" eb="28">
      <t>カイショク</t>
    </rPh>
    <rPh sb="29" eb="31">
      <t>キョシキ</t>
    </rPh>
    <rPh sb="32" eb="34">
      <t>カイショク</t>
    </rPh>
    <rPh sb="35" eb="37">
      <t>ケントウ</t>
    </rPh>
    <rPh sb="37" eb="38">
      <t>チュウ</t>
    </rPh>
    <rPh sb="39" eb="41">
      <t>ヨサン</t>
    </rPh>
    <rPh sb="41" eb="43">
      <t>ジュウシ</t>
    </rPh>
    <rPh sb="45" eb="48">
      <t>フンイキ</t>
    </rPh>
    <rPh sb="49" eb="51">
      <t>ダイジ</t>
    </rPh>
    <phoneticPr fontId="4"/>
  </si>
  <si>
    <t>田端　佑樹</t>
    <rPh sb="0" eb="2">
      <t>タバタ</t>
    </rPh>
    <rPh sb="3" eb="5">
      <t>ユウキ</t>
    </rPh>
    <phoneticPr fontId="4"/>
  </si>
  <si>
    <t>つるみ　やすひろ</t>
    <phoneticPr fontId="4"/>
  </si>
  <si>
    <t>鶴見　隆都</t>
    <rPh sb="0" eb="2">
      <t>ツルミ</t>
    </rPh>
    <rPh sb="3" eb="4">
      <t>タカシ</t>
    </rPh>
    <rPh sb="4" eb="5">
      <t>ミヤコ</t>
    </rPh>
    <phoneticPr fontId="4"/>
  </si>
  <si>
    <t>本あかり</t>
    <rPh sb="0" eb="1">
      <t>モト</t>
    </rPh>
    <phoneticPr fontId="4"/>
  </si>
  <si>
    <t>新井　海斗</t>
    <rPh sb="0" eb="2">
      <t>アライ</t>
    </rPh>
    <rPh sb="3" eb="4">
      <t>カイ</t>
    </rPh>
    <rPh sb="4" eb="5">
      <t>ト</t>
    </rPh>
    <phoneticPr fontId="4"/>
  </si>
  <si>
    <t>得地正人</t>
    <rPh sb="0" eb="2">
      <t>トクチ</t>
    </rPh>
    <rPh sb="2" eb="4">
      <t>マサト</t>
    </rPh>
    <phoneticPr fontId="4"/>
  </si>
  <si>
    <t>松田麻衣子</t>
    <rPh sb="0" eb="2">
      <t>マツダ</t>
    </rPh>
    <rPh sb="2" eb="5">
      <t>マイコ</t>
    </rPh>
    <phoneticPr fontId="4"/>
  </si>
  <si>
    <t>富山市のガラクも検討</t>
    <rPh sb="0" eb="3">
      <t>トヤマシ</t>
    </rPh>
    <rPh sb="8" eb="10">
      <t>ケントウ</t>
    </rPh>
    <phoneticPr fontId="4"/>
  </si>
  <si>
    <t>LINEと電話で予約。当日来ず。</t>
    <rPh sb="5" eb="7">
      <t>デンワ</t>
    </rPh>
    <rPh sb="8" eb="10">
      <t>ヨヤク</t>
    </rPh>
    <rPh sb="11" eb="13">
      <t>トウジツ</t>
    </rPh>
    <rPh sb="13" eb="14">
      <t>コ</t>
    </rPh>
    <phoneticPr fontId="4"/>
  </si>
  <si>
    <t>つるみ　りえ</t>
    <phoneticPr fontId="4"/>
  </si>
  <si>
    <t>10/31体調不良により当日キャンセル</t>
    <rPh sb="5" eb="7">
      <t>タイチョウ</t>
    </rPh>
    <rPh sb="7" eb="9">
      <t>フリョウ</t>
    </rPh>
    <rPh sb="12" eb="14">
      <t>トウジツ</t>
    </rPh>
    <phoneticPr fontId="4"/>
  </si>
  <si>
    <t>黒田　志穂</t>
    <rPh sb="0" eb="2">
      <t>クロダ</t>
    </rPh>
    <rPh sb="3" eb="5">
      <t>シホ</t>
    </rPh>
    <phoneticPr fontId="4"/>
  </si>
  <si>
    <t>太田　理沙</t>
    <rPh sb="0" eb="2">
      <t>オオタ</t>
    </rPh>
    <rPh sb="3" eb="5">
      <t>リサ</t>
    </rPh>
    <phoneticPr fontId="4"/>
  </si>
  <si>
    <t>5カ月の心斗(まなと)君　郎金沢・婦愛知出身　3年前にララで挙げる予定→延期を重ねて価格が上がり9月に破棄し会場を探している　3年前の時に沢山会場見学された　とりあえず会場見て回り決める感じ　</t>
    <rPh sb="4" eb="5">
      <t>ココロ</t>
    </rPh>
    <rPh sb="5" eb="6">
      <t>ト</t>
    </rPh>
    <rPh sb="11" eb="12">
      <t>クン</t>
    </rPh>
    <rPh sb="13" eb="14">
      <t>ロウ</t>
    </rPh>
    <rPh sb="14" eb="16">
      <t>カナザワ</t>
    </rPh>
    <rPh sb="17" eb="18">
      <t>フ</t>
    </rPh>
    <rPh sb="18" eb="20">
      <t>アイチ</t>
    </rPh>
    <rPh sb="20" eb="22">
      <t>シュッシン</t>
    </rPh>
    <rPh sb="64" eb="66">
      <t>ネンマエ</t>
    </rPh>
    <rPh sb="67" eb="68">
      <t>トキ</t>
    </rPh>
    <rPh sb="69" eb="71">
      <t>タクサン</t>
    </rPh>
    <rPh sb="71" eb="75">
      <t>カイジョウケンガク</t>
    </rPh>
    <rPh sb="84" eb="86">
      <t>カイジョウ</t>
    </rPh>
    <rPh sb="86" eb="87">
      <t>ミ</t>
    </rPh>
    <rPh sb="88" eb="89">
      <t>マワ</t>
    </rPh>
    <rPh sb="90" eb="91">
      <t>キ</t>
    </rPh>
    <rPh sb="93" eb="94">
      <t>カン</t>
    </rPh>
    <phoneticPr fontId="4"/>
  </si>
  <si>
    <t>みつ和紹介。他決(ディスティーノ…立地)郎婦野々市在住。自然があるところ。ゲストに楽しんでいただくことが大事。ディスティーノの半円のチャペルが気になる(ベンチを斜めにすることは出来る！と伝えた)</t>
    <rPh sb="2" eb="3">
      <t>ワ</t>
    </rPh>
    <rPh sb="3" eb="5">
      <t>ショウカイ</t>
    </rPh>
    <rPh sb="6" eb="8">
      <t>タケツ</t>
    </rPh>
    <rPh sb="17" eb="19">
      <t>リッチ</t>
    </rPh>
    <rPh sb="20" eb="22">
      <t>ロウフ</t>
    </rPh>
    <rPh sb="22" eb="27">
      <t>ノノイチザイジュウ</t>
    </rPh>
    <rPh sb="28" eb="30">
      <t>シゼン</t>
    </rPh>
    <rPh sb="41" eb="42">
      <t>タノ</t>
    </rPh>
    <rPh sb="52" eb="54">
      <t>ダイジ</t>
    </rPh>
    <rPh sb="63" eb="65">
      <t>ハンエン</t>
    </rPh>
    <rPh sb="71" eb="72">
      <t>キ</t>
    </rPh>
    <rPh sb="80" eb="81">
      <t>ナナ</t>
    </rPh>
    <rPh sb="88" eb="90">
      <t>デキ</t>
    </rPh>
    <rPh sb="93" eb="94">
      <t>ツタ</t>
    </rPh>
    <phoneticPr fontId="4"/>
  </si>
  <si>
    <t>他決（富山のララ）9/11希望だったが日程変更してもらった　高岡市在住　入籍済み　見学7件目　料理が美味しいところ</t>
    <rPh sb="0" eb="2">
      <t>タケツ</t>
    </rPh>
    <rPh sb="3" eb="5">
      <t>トヤマ</t>
    </rPh>
    <rPh sb="13" eb="15">
      <t>キボウ</t>
    </rPh>
    <rPh sb="19" eb="23">
      <t>ニッテイヘンコウ</t>
    </rPh>
    <rPh sb="30" eb="33">
      <t>タカオカシ</t>
    </rPh>
    <rPh sb="33" eb="35">
      <t>ザイジュウ</t>
    </rPh>
    <rPh sb="36" eb="39">
      <t>ニュウセキズ</t>
    </rPh>
    <rPh sb="41" eb="43">
      <t>ケンガク</t>
    </rPh>
    <rPh sb="44" eb="45">
      <t>ケン</t>
    </rPh>
    <rPh sb="45" eb="46">
      <t>メ</t>
    </rPh>
    <rPh sb="47" eb="49">
      <t>リョウリ</t>
    </rPh>
    <rPh sb="50" eb="52">
      <t>オイ</t>
    </rPh>
    <phoneticPr fontId="4"/>
  </si>
  <si>
    <t>山本　文也</t>
    <rPh sb="0" eb="2">
      <t>ヤマモト</t>
    </rPh>
    <rPh sb="3" eb="5">
      <t>フミヤ</t>
    </rPh>
    <phoneticPr fontId="4"/>
  </si>
  <si>
    <t>山本　元美</t>
    <rPh sb="0" eb="2">
      <t>ヤマモト</t>
    </rPh>
    <rPh sb="3" eb="5">
      <t>モトミ</t>
    </rPh>
    <phoneticPr fontId="4"/>
  </si>
  <si>
    <t>フォトのみで検討。食事もできるプランを見つけていいなと思った。フォトはチャペルでしたいと思っている。和装・洋装は悩み中。予算には納得いただけた。</t>
    <rPh sb="6" eb="8">
      <t>ケントウ</t>
    </rPh>
    <rPh sb="9" eb="11">
      <t>ショクジ</t>
    </rPh>
    <rPh sb="19" eb="20">
      <t>ミ</t>
    </rPh>
    <rPh sb="27" eb="28">
      <t>オモ</t>
    </rPh>
    <rPh sb="44" eb="45">
      <t>オモ</t>
    </rPh>
    <rPh sb="50" eb="52">
      <t>ワソウ</t>
    </rPh>
    <rPh sb="53" eb="55">
      <t>ヨウソウ</t>
    </rPh>
    <rPh sb="56" eb="57">
      <t>ナヤ</t>
    </rPh>
    <rPh sb="58" eb="59">
      <t>チュウ</t>
    </rPh>
    <rPh sb="60" eb="62">
      <t>ヨサン</t>
    </rPh>
    <rPh sb="64" eb="66">
      <t>ナットク</t>
    </rPh>
    <phoneticPr fontId="4"/>
  </si>
  <si>
    <t>藤尾友基</t>
    <rPh sb="0" eb="2">
      <t>フジオ</t>
    </rPh>
    <rPh sb="2" eb="3">
      <t>トモ</t>
    </rPh>
    <rPh sb="3" eb="4">
      <t>モトイ</t>
    </rPh>
    <phoneticPr fontId="4"/>
  </si>
  <si>
    <t>小林満里奈</t>
    <rPh sb="0" eb="2">
      <t>コバヤシ</t>
    </rPh>
    <rPh sb="2" eb="3">
      <t>マン</t>
    </rPh>
    <rPh sb="3" eb="4">
      <t>サト</t>
    </rPh>
    <rPh sb="4" eb="5">
      <t>ナ</t>
    </rPh>
    <phoneticPr fontId="4"/>
  </si>
  <si>
    <t>シライシ紹介　予算重視　フォト+食事会　ちい婚も検討</t>
    <rPh sb="4" eb="6">
      <t>ショウカイ</t>
    </rPh>
    <rPh sb="7" eb="11">
      <t>ヨサンジュウシ</t>
    </rPh>
    <rPh sb="16" eb="19">
      <t>ショクジカイ</t>
    </rPh>
    <rPh sb="22" eb="23">
      <t>コン</t>
    </rPh>
    <rPh sb="24" eb="26">
      <t>ケントウ</t>
    </rPh>
    <phoneticPr fontId="4"/>
  </si>
  <si>
    <t>髙橋　竜一</t>
    <rPh sb="0" eb="2">
      <t>タカハシ</t>
    </rPh>
    <rPh sb="3" eb="5">
      <t>リュウイチ</t>
    </rPh>
    <phoneticPr fontId="4"/>
  </si>
  <si>
    <t>髙橋　可純</t>
    <rPh sb="0" eb="2">
      <t>タカハシ</t>
    </rPh>
    <rPh sb="3" eb="4">
      <t>カ</t>
    </rPh>
    <rPh sb="4" eb="5">
      <t>ジュン</t>
    </rPh>
    <phoneticPr fontId="4"/>
  </si>
  <si>
    <t>上野谷　澪</t>
    <rPh sb="0" eb="2">
      <t>ウエノ</t>
    </rPh>
    <rPh sb="2" eb="3">
      <t>タニ</t>
    </rPh>
    <rPh sb="4" eb="5">
      <t>ミオ</t>
    </rPh>
    <phoneticPr fontId="4"/>
  </si>
  <si>
    <t>他決(　　)。挙式+お食事会　新郎金沢　新婦七尾出身　とりあえず会場に見に来たみたいな感じ　新婦家族がイタリアンカフェを良くご利用されている</t>
    <rPh sb="0" eb="2">
      <t>タケツ</t>
    </rPh>
    <rPh sb="7" eb="9">
      <t>キョシキ</t>
    </rPh>
    <rPh sb="11" eb="14">
      <t>ショクジカイ</t>
    </rPh>
    <rPh sb="15" eb="17">
      <t>シンロウ</t>
    </rPh>
    <rPh sb="17" eb="19">
      <t>カナザワ</t>
    </rPh>
    <rPh sb="20" eb="22">
      <t>シンプ</t>
    </rPh>
    <rPh sb="22" eb="24">
      <t>ナナオ</t>
    </rPh>
    <rPh sb="24" eb="26">
      <t>シュッシン</t>
    </rPh>
    <rPh sb="32" eb="34">
      <t>カイジョウ</t>
    </rPh>
    <rPh sb="35" eb="36">
      <t>ミ</t>
    </rPh>
    <rPh sb="37" eb="38">
      <t>キ</t>
    </rPh>
    <rPh sb="43" eb="44">
      <t>カン</t>
    </rPh>
    <rPh sb="46" eb="48">
      <t>シンプ</t>
    </rPh>
    <rPh sb="48" eb="50">
      <t>カゾク</t>
    </rPh>
    <rPh sb="60" eb="61">
      <t>ヨ</t>
    </rPh>
    <rPh sb="63" eb="65">
      <t>リヨウ</t>
    </rPh>
    <phoneticPr fontId="4"/>
  </si>
  <si>
    <t>他決(　　)。新郎北海道　新婦白山市出身　神奈川に二人で同棲中　家族+友人で挙式+お食事会　帰省中でこの期間にいくつか会場見学予定　辻家1件目予定だったが時間が無く叶わず</t>
    <rPh sb="0" eb="2">
      <t>タケツ</t>
    </rPh>
    <rPh sb="7" eb="9">
      <t>シンロウ</t>
    </rPh>
    <rPh sb="9" eb="12">
      <t>ホッカイドウ</t>
    </rPh>
    <rPh sb="13" eb="15">
      <t>シンプ</t>
    </rPh>
    <rPh sb="15" eb="18">
      <t>ハクサンシ</t>
    </rPh>
    <rPh sb="18" eb="20">
      <t>シュッシン</t>
    </rPh>
    <rPh sb="21" eb="24">
      <t>カナガワ</t>
    </rPh>
    <rPh sb="25" eb="27">
      <t>フタリ</t>
    </rPh>
    <rPh sb="28" eb="31">
      <t>ドウセイチュウ</t>
    </rPh>
    <rPh sb="32" eb="34">
      <t>カゾク</t>
    </rPh>
    <rPh sb="35" eb="37">
      <t>ユウジン</t>
    </rPh>
    <rPh sb="38" eb="40">
      <t>キョシキ</t>
    </rPh>
    <rPh sb="42" eb="45">
      <t>ショクジカイ</t>
    </rPh>
    <rPh sb="46" eb="49">
      <t>キセイチュウ</t>
    </rPh>
    <rPh sb="52" eb="54">
      <t>キカン</t>
    </rPh>
    <rPh sb="59" eb="63">
      <t>カイジョウケンガク</t>
    </rPh>
    <rPh sb="63" eb="65">
      <t>ヨテイ</t>
    </rPh>
    <rPh sb="66" eb="67">
      <t>ツジ</t>
    </rPh>
    <rPh sb="67" eb="68">
      <t>ケ</t>
    </rPh>
    <rPh sb="69" eb="70">
      <t>ケン</t>
    </rPh>
    <rPh sb="70" eb="71">
      <t>メ</t>
    </rPh>
    <rPh sb="71" eb="73">
      <t>ヨテイ</t>
    </rPh>
    <rPh sb="77" eb="79">
      <t>ジカン</t>
    </rPh>
    <rPh sb="80" eb="81">
      <t>ナ</t>
    </rPh>
    <rPh sb="82" eb="83">
      <t>カナ</t>
    </rPh>
    <phoneticPr fontId="4"/>
  </si>
  <si>
    <t>他決(　　)。新郎小松、新婦金沢出身　郎は仕事で大阪在住　来春には戻ってきたい　自然大好き　2024年希望</t>
    <rPh sb="0" eb="2">
      <t>タケツ</t>
    </rPh>
    <rPh sb="7" eb="9">
      <t>シンロウ</t>
    </rPh>
    <rPh sb="9" eb="11">
      <t>コマツ</t>
    </rPh>
    <rPh sb="12" eb="14">
      <t>シンプ</t>
    </rPh>
    <rPh sb="14" eb="16">
      <t>カナザワ</t>
    </rPh>
    <rPh sb="16" eb="18">
      <t>シュッシン</t>
    </rPh>
    <rPh sb="19" eb="20">
      <t>ロウ</t>
    </rPh>
    <rPh sb="21" eb="23">
      <t>シゴト</t>
    </rPh>
    <rPh sb="24" eb="26">
      <t>オオサカ</t>
    </rPh>
    <rPh sb="26" eb="28">
      <t>ザイジュウ</t>
    </rPh>
    <rPh sb="29" eb="31">
      <t>ライハル</t>
    </rPh>
    <rPh sb="33" eb="34">
      <t>モド</t>
    </rPh>
    <rPh sb="40" eb="42">
      <t>シゼン</t>
    </rPh>
    <rPh sb="42" eb="44">
      <t>ダイス</t>
    </rPh>
    <rPh sb="50" eb="51">
      <t>ネン</t>
    </rPh>
    <rPh sb="51" eb="53">
      <t>キボウ</t>
    </rPh>
    <phoneticPr fontId="4"/>
  </si>
  <si>
    <t>川原　小波</t>
    <rPh sb="0" eb="2">
      <t>カワハラ</t>
    </rPh>
    <rPh sb="3" eb="5">
      <t>コナミ</t>
    </rPh>
    <phoneticPr fontId="4"/>
  </si>
  <si>
    <t>新郎金沢、新婦七尾でお住まい。新婦の持込衣装(生徒が手作りしたもの)を持ち込めるか、会場に段差がないかが決定ポイント。他会場も見に行く予定。</t>
    <rPh sb="0" eb="2">
      <t>シンロウ</t>
    </rPh>
    <rPh sb="2" eb="4">
      <t>カナザワ</t>
    </rPh>
    <rPh sb="5" eb="7">
      <t>シンプ</t>
    </rPh>
    <rPh sb="7" eb="9">
      <t>ナナオ</t>
    </rPh>
    <rPh sb="11" eb="12">
      <t>ス</t>
    </rPh>
    <rPh sb="15" eb="17">
      <t>シンプ</t>
    </rPh>
    <rPh sb="18" eb="20">
      <t>モチコミ</t>
    </rPh>
    <rPh sb="20" eb="22">
      <t>イショウ</t>
    </rPh>
    <rPh sb="23" eb="25">
      <t>セイト</t>
    </rPh>
    <rPh sb="26" eb="28">
      <t>テヅク</t>
    </rPh>
    <rPh sb="35" eb="36">
      <t>モ</t>
    </rPh>
    <rPh sb="37" eb="38">
      <t>コ</t>
    </rPh>
    <rPh sb="42" eb="44">
      <t>カイジョウ</t>
    </rPh>
    <rPh sb="45" eb="47">
      <t>ダンサ</t>
    </rPh>
    <rPh sb="52" eb="54">
      <t>ケッテイ</t>
    </rPh>
    <rPh sb="59" eb="60">
      <t>ホカ</t>
    </rPh>
    <rPh sb="60" eb="62">
      <t>カイジョウ</t>
    </rPh>
    <rPh sb="63" eb="64">
      <t>ミ</t>
    </rPh>
    <rPh sb="65" eb="66">
      <t>イ</t>
    </rPh>
    <rPh sb="67" eb="69">
      <t>ヨテイ</t>
    </rPh>
    <phoneticPr fontId="4"/>
  </si>
  <si>
    <t>10/30来館希望だったが日程合わず。新郎加賀・新婦高岡出身。ぶどうに興味があるおふたり(郎がぶどう栽培を仕事でスタート)予算重視。日曜日希望。</t>
    <rPh sb="5" eb="7">
      <t>ライカン</t>
    </rPh>
    <rPh sb="7" eb="9">
      <t>キボウ</t>
    </rPh>
    <rPh sb="13" eb="15">
      <t>ニッテイ</t>
    </rPh>
    <rPh sb="15" eb="16">
      <t>ア</t>
    </rPh>
    <rPh sb="19" eb="21">
      <t>シンロウ</t>
    </rPh>
    <rPh sb="21" eb="23">
      <t>カガ</t>
    </rPh>
    <rPh sb="24" eb="26">
      <t>シンプ</t>
    </rPh>
    <rPh sb="26" eb="28">
      <t>タカオカ</t>
    </rPh>
    <rPh sb="28" eb="30">
      <t>シュッシン</t>
    </rPh>
    <rPh sb="35" eb="37">
      <t>キョウミ</t>
    </rPh>
    <rPh sb="45" eb="46">
      <t>ロウ</t>
    </rPh>
    <rPh sb="50" eb="52">
      <t>サイバイ</t>
    </rPh>
    <rPh sb="53" eb="55">
      <t>シゴト</t>
    </rPh>
    <rPh sb="61" eb="63">
      <t>ヨサン</t>
    </rPh>
    <rPh sb="63" eb="65">
      <t>ジュウシ</t>
    </rPh>
    <rPh sb="66" eb="69">
      <t>ニチヨウビ</t>
    </rPh>
    <rPh sb="69" eb="71">
      <t>キボウ</t>
    </rPh>
    <phoneticPr fontId="4"/>
  </si>
  <si>
    <t>武田　優衣</t>
    <rPh sb="0" eb="2">
      <t>タケダ</t>
    </rPh>
    <rPh sb="3" eb="5">
      <t>ユイ</t>
    </rPh>
    <phoneticPr fontId="4"/>
  </si>
  <si>
    <t>武田　佳樹</t>
    <rPh sb="0" eb="2">
      <t>タケダ</t>
    </rPh>
    <rPh sb="3" eb="5">
      <t>ヨシキ</t>
    </rPh>
    <phoneticPr fontId="4"/>
  </si>
  <si>
    <t>田中　聡子</t>
    <phoneticPr fontId="4"/>
  </si>
  <si>
    <t>久保田　恒平</t>
    <rPh sb="0" eb="3">
      <t>クボタ</t>
    </rPh>
    <rPh sb="4" eb="5">
      <t>ヒサシ</t>
    </rPh>
    <rPh sb="5" eb="6">
      <t>ヒラ</t>
    </rPh>
    <phoneticPr fontId="4"/>
  </si>
  <si>
    <t>つじさわ</t>
    <phoneticPr fontId="4"/>
  </si>
  <si>
    <t>森久典</t>
    <rPh sb="0" eb="1">
      <t>モリ</t>
    </rPh>
    <rPh sb="1" eb="2">
      <t>ヒサ</t>
    </rPh>
    <rPh sb="2" eb="3">
      <t>ノリ</t>
    </rPh>
    <phoneticPr fontId="4"/>
  </si>
  <si>
    <t>森梨紗</t>
    <rPh sb="0" eb="1">
      <t>モリ</t>
    </rPh>
    <rPh sb="1" eb="3">
      <t>リサ</t>
    </rPh>
    <phoneticPr fontId="4"/>
  </si>
  <si>
    <t>ヴィーニュで顔合わせ後　会場見学のみ/恩道</t>
    <rPh sb="6" eb="8">
      <t>カオア</t>
    </rPh>
    <rPh sb="10" eb="11">
      <t>ゴ</t>
    </rPh>
    <rPh sb="12" eb="16">
      <t>カイジョウケンガク</t>
    </rPh>
    <rPh sb="19" eb="21">
      <t>オンドウ</t>
    </rPh>
    <phoneticPr fontId="4"/>
  </si>
  <si>
    <t>他決(アマンダン…景観・会場)新郎:新潟出身、新婦:金沢出身。自然で緊張しない会場が良い。衣装ﾐﾆｭｲ来週行く。お花装飾はいい感じにしたい。予算高めで出した。</t>
    <rPh sb="0" eb="2">
      <t>タケツ</t>
    </rPh>
    <rPh sb="9" eb="11">
      <t>ケイカン</t>
    </rPh>
    <rPh sb="12" eb="14">
      <t>カイジョウ</t>
    </rPh>
    <rPh sb="18" eb="20">
      <t>ニイガタ</t>
    </rPh>
    <rPh sb="20" eb="22">
      <t>シュッシン</t>
    </rPh>
    <rPh sb="23" eb="25">
      <t>シンプ</t>
    </rPh>
    <rPh sb="26" eb="28">
      <t>カナザワ</t>
    </rPh>
    <rPh sb="28" eb="30">
      <t>シュッシン</t>
    </rPh>
    <rPh sb="31" eb="33">
      <t>シゼン</t>
    </rPh>
    <rPh sb="34" eb="36">
      <t>キンチョウ</t>
    </rPh>
    <rPh sb="39" eb="41">
      <t>カイジョウ</t>
    </rPh>
    <rPh sb="42" eb="43">
      <t>ヨ</t>
    </rPh>
    <rPh sb="45" eb="47">
      <t>イショウ</t>
    </rPh>
    <rPh sb="51" eb="53">
      <t>ライシュウ</t>
    </rPh>
    <rPh sb="53" eb="54">
      <t>イ</t>
    </rPh>
    <rPh sb="57" eb="58">
      <t>ハナ</t>
    </rPh>
    <rPh sb="58" eb="60">
      <t>ソウショク</t>
    </rPh>
    <rPh sb="63" eb="64">
      <t>カン</t>
    </rPh>
    <rPh sb="70" eb="73">
      <t>ヨサンタカ</t>
    </rPh>
    <rPh sb="75" eb="76">
      <t>ダ</t>
    </rPh>
    <phoneticPr fontId="4"/>
  </si>
  <si>
    <t>森本梨世</t>
    <rPh sb="0" eb="2">
      <t>モリモト</t>
    </rPh>
    <rPh sb="2" eb="3">
      <t>リ</t>
    </rPh>
    <rPh sb="3" eb="4">
      <t>セ</t>
    </rPh>
    <phoneticPr fontId="4"/>
  </si>
  <si>
    <t>当日飛び込み　新婦と新婦母　食事会のみ　レストラン案件</t>
    <rPh sb="0" eb="2">
      <t>トウジツ</t>
    </rPh>
    <rPh sb="2" eb="3">
      <t>ト</t>
    </rPh>
    <rPh sb="4" eb="5">
      <t>コ</t>
    </rPh>
    <rPh sb="7" eb="9">
      <t>シンプ</t>
    </rPh>
    <rPh sb="10" eb="13">
      <t>シンプハハ</t>
    </rPh>
    <rPh sb="14" eb="17">
      <t>ショクジカイ</t>
    </rPh>
    <rPh sb="25" eb="27">
      <t>アンケン</t>
    </rPh>
    <phoneticPr fontId="4"/>
  </si>
  <si>
    <t>当日飛び込み　11/23再来にて仮</t>
    <rPh sb="0" eb="2">
      <t>トウジツ</t>
    </rPh>
    <rPh sb="2" eb="3">
      <t>ト</t>
    </rPh>
    <rPh sb="4" eb="5">
      <t>コ</t>
    </rPh>
    <rPh sb="12" eb="14">
      <t>サイライ</t>
    </rPh>
    <rPh sb="16" eb="17">
      <t>カリ</t>
    </rPh>
    <phoneticPr fontId="4"/>
  </si>
  <si>
    <t>文</t>
    <rPh sb="0" eb="1">
      <t>アヤ</t>
    </rPh>
    <phoneticPr fontId="4"/>
  </si>
  <si>
    <t>華</t>
    <rPh sb="0" eb="1">
      <t>ハナ</t>
    </rPh>
    <phoneticPr fontId="4"/>
  </si>
  <si>
    <t>貴</t>
    <rPh sb="0" eb="1">
      <t>タカ</t>
    </rPh>
    <phoneticPr fontId="4"/>
  </si>
  <si>
    <t>常</t>
    <rPh sb="0" eb="1">
      <t>ツネ</t>
    </rPh>
    <phoneticPr fontId="4"/>
  </si>
  <si>
    <t>笑</t>
    <rPh sb="0" eb="1">
      <t>エ</t>
    </rPh>
    <phoneticPr fontId="4"/>
  </si>
  <si>
    <t>和</t>
    <rPh sb="0" eb="1">
      <t>ワ</t>
    </rPh>
    <phoneticPr fontId="4"/>
  </si>
  <si>
    <t>姫</t>
    <rPh sb="0" eb="1">
      <t>ヒメ</t>
    </rPh>
    <phoneticPr fontId="4"/>
  </si>
  <si>
    <t>北間さとみ</t>
    <rPh sb="0" eb="2">
      <t>キタマ</t>
    </rPh>
    <phoneticPr fontId="4"/>
  </si>
  <si>
    <t>本家　秀之</t>
    <rPh sb="0" eb="2">
      <t>ホンケ</t>
    </rPh>
    <rPh sb="3" eb="4">
      <t>ヒデ</t>
    </rPh>
    <rPh sb="4" eb="5">
      <t>ユキ</t>
    </rPh>
    <phoneticPr fontId="4"/>
  </si>
  <si>
    <t>山岸　まどか</t>
    <rPh sb="0" eb="2">
      <t>ヤマギシ</t>
    </rPh>
    <phoneticPr fontId="4"/>
  </si>
  <si>
    <t>津川　翔</t>
    <rPh sb="0" eb="2">
      <t>ツガワ</t>
    </rPh>
    <rPh sb="3" eb="4">
      <t>ショウ</t>
    </rPh>
    <phoneticPr fontId="4"/>
  </si>
  <si>
    <t>松平　彩花</t>
    <rPh sb="0" eb="2">
      <t>マツヒラ</t>
    </rPh>
    <rPh sb="3" eb="4">
      <t>アヤ</t>
    </rPh>
    <rPh sb="4" eb="5">
      <t>ハナ</t>
    </rPh>
    <phoneticPr fontId="4"/>
  </si>
  <si>
    <t>ANAクラウンプラザホテル</t>
  </si>
  <si>
    <t>ことぶき加藤様より　新郎金沢、新婦黒部出身　式+お食事会希望　家族のみ　料理重視</t>
    <rPh sb="4" eb="7">
      <t>カトウサマ</t>
    </rPh>
    <rPh sb="10" eb="12">
      <t>シンロウ</t>
    </rPh>
    <rPh sb="12" eb="14">
      <t>カナザワ</t>
    </rPh>
    <rPh sb="15" eb="17">
      <t>シンプ</t>
    </rPh>
    <rPh sb="17" eb="19">
      <t>クロベ</t>
    </rPh>
    <rPh sb="19" eb="21">
      <t>シュッシン</t>
    </rPh>
    <rPh sb="22" eb="23">
      <t>シキ</t>
    </rPh>
    <rPh sb="25" eb="28">
      <t>ショクジカイ</t>
    </rPh>
    <rPh sb="28" eb="30">
      <t>キボウ</t>
    </rPh>
    <rPh sb="31" eb="33">
      <t>カゾク</t>
    </rPh>
    <rPh sb="36" eb="38">
      <t>リョウリ</t>
    </rPh>
    <rPh sb="38" eb="40">
      <t>ジュウシ</t>
    </rPh>
    <phoneticPr fontId="4"/>
  </si>
  <si>
    <t>奥野　太朗</t>
    <rPh sb="0" eb="2">
      <t>オクノ</t>
    </rPh>
    <rPh sb="3" eb="5">
      <t>タロウ</t>
    </rPh>
    <phoneticPr fontId="4"/>
  </si>
  <si>
    <t>niwakaより。12月に他会場を見学予定の為、それが終わるまではやっぱり決めれない。新郎南砺、新婦白山。金沢在住。お料理・会場の雰囲気が重視ポイント。予算は出せるとのこと。和装が着たくてラグナも気になった。日程提示のみで見積もり出してない。</t>
    <rPh sb="11" eb="12">
      <t>ガツ</t>
    </rPh>
    <rPh sb="13" eb="16">
      <t>タカイジョウ</t>
    </rPh>
    <rPh sb="17" eb="21">
      <t>ケンガクヨテイ</t>
    </rPh>
    <rPh sb="22" eb="23">
      <t>タメ</t>
    </rPh>
    <rPh sb="27" eb="28">
      <t>オ</t>
    </rPh>
    <rPh sb="37" eb="38">
      <t>キ</t>
    </rPh>
    <rPh sb="43" eb="47">
      <t>シンロウナント</t>
    </rPh>
    <rPh sb="48" eb="50">
      <t>シンプ</t>
    </rPh>
    <rPh sb="50" eb="52">
      <t>ハクサン</t>
    </rPh>
    <rPh sb="53" eb="57">
      <t>カナザワザイジュウ</t>
    </rPh>
    <rPh sb="59" eb="61">
      <t>リョウリ</t>
    </rPh>
    <rPh sb="62" eb="64">
      <t>カイジョウ</t>
    </rPh>
    <rPh sb="65" eb="68">
      <t>フンイキ</t>
    </rPh>
    <rPh sb="69" eb="71">
      <t>ジュウシ</t>
    </rPh>
    <rPh sb="76" eb="78">
      <t>ヨサン</t>
    </rPh>
    <rPh sb="79" eb="80">
      <t>ダ</t>
    </rPh>
    <rPh sb="87" eb="89">
      <t>ワソウ</t>
    </rPh>
    <rPh sb="90" eb="91">
      <t>キ</t>
    </rPh>
    <rPh sb="98" eb="99">
      <t>キ</t>
    </rPh>
    <rPh sb="104" eb="106">
      <t>ニッテイ</t>
    </rPh>
    <rPh sb="106" eb="108">
      <t>テイジ</t>
    </rPh>
    <rPh sb="111" eb="113">
      <t>ミツ</t>
    </rPh>
    <rPh sb="115" eb="116">
      <t>ダ</t>
    </rPh>
    <phoneticPr fontId="4"/>
  </si>
  <si>
    <t>岡田　千明</t>
  </si>
  <si>
    <t>永井</t>
    <rPh sb="0" eb="2">
      <t>ナガイ</t>
    </rPh>
    <phoneticPr fontId="4"/>
  </si>
  <si>
    <t>当日電話予約</t>
    <rPh sb="0" eb="2">
      <t>トウジツ</t>
    </rPh>
    <rPh sb="2" eb="6">
      <t>デンワヨヤク</t>
    </rPh>
    <phoneticPr fontId="4"/>
  </si>
  <si>
    <t>折戸　昭良</t>
    <rPh sb="0" eb="2">
      <t>オリト</t>
    </rPh>
    <rPh sb="3" eb="4">
      <t>アキラ</t>
    </rPh>
    <rPh sb="4" eb="5">
      <t>ヨ</t>
    </rPh>
    <phoneticPr fontId="4"/>
  </si>
  <si>
    <t>貴</t>
    <rPh sb="0" eb="1">
      <t>キ</t>
    </rPh>
    <phoneticPr fontId="4"/>
  </si>
  <si>
    <t>新郎かほく、新婦金沢出身　吹奏楽したい　和装前撮り有　大安希望　立地重視</t>
    <rPh sb="0" eb="2">
      <t>シンロウ</t>
    </rPh>
    <rPh sb="6" eb="8">
      <t>シンプ</t>
    </rPh>
    <rPh sb="8" eb="12">
      <t>カナザワシュッシン</t>
    </rPh>
    <rPh sb="13" eb="16">
      <t>スイソウガク</t>
    </rPh>
    <rPh sb="20" eb="22">
      <t>ワソウ</t>
    </rPh>
    <rPh sb="22" eb="24">
      <t>マエド</t>
    </rPh>
    <rPh sb="25" eb="26">
      <t>アリ</t>
    </rPh>
    <rPh sb="27" eb="29">
      <t>タイアン</t>
    </rPh>
    <rPh sb="29" eb="31">
      <t>キボウ</t>
    </rPh>
    <rPh sb="32" eb="34">
      <t>リッチ</t>
    </rPh>
    <rPh sb="34" eb="36">
      <t>ジュウシ</t>
    </rPh>
    <phoneticPr fontId="4"/>
  </si>
  <si>
    <t>牧　奈帆夏</t>
    <rPh sb="0" eb="1">
      <t>マキ</t>
    </rPh>
    <rPh sb="2" eb="3">
      <t>ナ</t>
    </rPh>
    <rPh sb="3" eb="4">
      <t>ホ</t>
    </rPh>
    <rPh sb="4" eb="5">
      <t>カ</t>
    </rPh>
    <phoneticPr fontId="4"/>
  </si>
  <si>
    <t>花田　法彦</t>
    <rPh sb="0" eb="2">
      <t>ハナダ</t>
    </rPh>
    <rPh sb="3" eb="5">
      <t>ノリヒコ</t>
    </rPh>
    <phoneticPr fontId="4"/>
  </si>
  <si>
    <t>岡本　和也</t>
    <rPh sb="0" eb="2">
      <t>オカモト</t>
    </rPh>
    <rPh sb="3" eb="4">
      <t>ワ</t>
    </rPh>
    <rPh sb="4" eb="5">
      <t>ヤ</t>
    </rPh>
    <phoneticPr fontId="4"/>
  </si>
  <si>
    <t>中村真白</t>
    <rPh sb="0" eb="2">
      <t>ナカムラ</t>
    </rPh>
    <rPh sb="2" eb="4">
      <t>マシロ</t>
    </rPh>
    <phoneticPr fontId="4"/>
  </si>
  <si>
    <t>内　彩華</t>
    <rPh sb="0" eb="1">
      <t>ウチ</t>
    </rPh>
    <rPh sb="2" eb="4">
      <t>アヤカ</t>
    </rPh>
    <phoneticPr fontId="4"/>
  </si>
  <si>
    <t>山﨑悠平</t>
    <rPh sb="0" eb="2">
      <t>ヤマザキ</t>
    </rPh>
    <rPh sb="2" eb="4">
      <t>ユウヘイ</t>
    </rPh>
    <phoneticPr fontId="4"/>
  </si>
  <si>
    <t>特に重要な指標は「フォロー数」と「インタラクション数（保存数）」の２つ</t>
    <phoneticPr fontId="4"/>
  </si>
  <si>
    <t>ストーリーズの投稿数</t>
    <rPh sb="7" eb="10">
      <t>トウコウスウ</t>
    </rPh>
    <phoneticPr fontId="4"/>
  </si>
  <si>
    <t>１投稿につき写真２枚</t>
    <rPh sb="1" eb="3">
      <t>トウコウ</t>
    </rPh>
    <rPh sb="6" eb="8">
      <t>シャシン</t>
    </rPh>
    <rPh sb="9" eb="10">
      <t>マイ</t>
    </rPh>
    <phoneticPr fontId="4"/>
  </si>
  <si>
    <t>投稿内容</t>
    <rPh sb="0" eb="4">
      <t>トウコウナイヨウ</t>
    </rPh>
    <phoneticPr fontId="4"/>
  </si>
  <si>
    <t>メンションする</t>
    <phoneticPr fontId="4"/>
  </si>
  <si>
    <t>新井　みほ</t>
    <rPh sb="0" eb="2">
      <t>アライ</t>
    </rPh>
    <phoneticPr fontId="4"/>
  </si>
  <si>
    <t>定池 朋子</t>
  </si>
  <si>
    <t>ppsadapp@gmail.com  TEL:08058575117  〒9201302  石川県金沢市末町1の196番地2</t>
    <phoneticPr fontId="4"/>
  </si>
  <si>
    <t>他決(多分辻家)郎、静岡と2拠点生活。親族へのお披露目・ご挨拶として。同室人前もアリ。こだわり無し。11/20→11/19→12/4へ日程変更。2023年4月土曜日午後希望</t>
    <rPh sb="0" eb="2">
      <t>タケツ</t>
    </rPh>
    <rPh sb="3" eb="5">
      <t>タブン</t>
    </rPh>
    <rPh sb="5" eb="7">
      <t>ツジケ</t>
    </rPh>
    <rPh sb="8" eb="9">
      <t>ロウ</t>
    </rPh>
    <rPh sb="10" eb="12">
      <t>シズオカ</t>
    </rPh>
    <rPh sb="14" eb="18">
      <t>キョテンセイカツ</t>
    </rPh>
    <rPh sb="19" eb="21">
      <t>シンゾク</t>
    </rPh>
    <rPh sb="24" eb="27">
      <t>ヒロメ</t>
    </rPh>
    <rPh sb="29" eb="31">
      <t>アイサツ</t>
    </rPh>
    <rPh sb="35" eb="39">
      <t>ドウシツジンゼン</t>
    </rPh>
    <rPh sb="47" eb="48">
      <t>ナ</t>
    </rPh>
    <rPh sb="67" eb="69">
      <t>ニッテイ</t>
    </rPh>
    <rPh sb="69" eb="71">
      <t>ヘンコウ</t>
    </rPh>
    <rPh sb="76" eb="77">
      <t>ネン</t>
    </rPh>
    <rPh sb="78" eb="79">
      <t>ガツ</t>
    </rPh>
    <rPh sb="79" eb="80">
      <t>ド</t>
    </rPh>
    <rPh sb="80" eb="82">
      <t>ヨウビ</t>
    </rPh>
    <rPh sb="82" eb="84">
      <t>ゴゴ</t>
    </rPh>
    <rPh sb="84" eb="86">
      <t>キボウ</t>
    </rPh>
    <phoneticPr fontId="4"/>
  </si>
  <si>
    <t>岡田　浩司</t>
    <rPh sb="0" eb="2">
      <t>オカダ</t>
    </rPh>
    <rPh sb="3" eb="5">
      <t>コウジ</t>
    </rPh>
    <phoneticPr fontId="4"/>
  </si>
  <si>
    <t>桐溪　茜</t>
    <rPh sb="0" eb="1">
      <t>キリ</t>
    </rPh>
    <rPh sb="1" eb="2">
      <t>タニ</t>
    </rPh>
    <rPh sb="3" eb="4">
      <t>アカネ</t>
    </rPh>
    <phoneticPr fontId="4"/>
  </si>
  <si>
    <t>新郎高岡、新婦富山市出身　西田様のご紹介(HPのトップページ写真の新婦さん)　ほぼうちで決まりに見える　両親挨拶・顔合わせ後にお返事有り予定　</t>
    <rPh sb="0" eb="4">
      <t>シンロウタカオカ</t>
    </rPh>
    <rPh sb="5" eb="7">
      <t>シンプ</t>
    </rPh>
    <rPh sb="7" eb="10">
      <t>トヤマシ</t>
    </rPh>
    <rPh sb="10" eb="12">
      <t>シュッシン</t>
    </rPh>
    <rPh sb="13" eb="16">
      <t>ニシダサマ</t>
    </rPh>
    <rPh sb="18" eb="20">
      <t>ショウカイ</t>
    </rPh>
    <rPh sb="30" eb="32">
      <t>シャシン</t>
    </rPh>
    <rPh sb="33" eb="35">
      <t>シンプ</t>
    </rPh>
    <rPh sb="44" eb="45">
      <t>キ</t>
    </rPh>
    <rPh sb="48" eb="49">
      <t>ミ</t>
    </rPh>
    <rPh sb="52" eb="54">
      <t>リョウシン</t>
    </rPh>
    <rPh sb="54" eb="56">
      <t>アイサツ</t>
    </rPh>
    <rPh sb="57" eb="59">
      <t>カオア</t>
    </rPh>
    <rPh sb="61" eb="62">
      <t>ゴ</t>
    </rPh>
    <rPh sb="64" eb="66">
      <t>ヘンジ</t>
    </rPh>
    <rPh sb="66" eb="67">
      <t>ア</t>
    </rPh>
    <rPh sb="68" eb="70">
      <t>ヨテイ</t>
    </rPh>
    <phoneticPr fontId="4"/>
  </si>
  <si>
    <t>竹本琢磨</t>
    <rPh sb="0" eb="2">
      <t>タケモト</t>
    </rPh>
    <rPh sb="2" eb="4">
      <t>タクマ</t>
    </rPh>
    <phoneticPr fontId="4"/>
  </si>
  <si>
    <t>12/18のAMが対応できず、未来館</t>
    <rPh sb="9" eb="11">
      <t>タイオウ</t>
    </rPh>
    <rPh sb="15" eb="18">
      <t>ミライカン</t>
    </rPh>
    <phoneticPr fontId="4"/>
  </si>
  <si>
    <t>山名田　勇志</t>
    <rPh sb="0" eb="1">
      <t>ヤマ</t>
    </rPh>
    <rPh sb="1" eb="2">
      <t>ナ</t>
    </rPh>
    <rPh sb="2" eb="3">
      <t>タ</t>
    </rPh>
    <rPh sb="4" eb="5">
      <t>ユウ</t>
    </rPh>
    <rPh sb="5" eb="6">
      <t>シ</t>
    </rPh>
    <phoneticPr fontId="4"/>
  </si>
  <si>
    <t>石村　沙姫</t>
    <rPh sb="0" eb="2">
      <t>イシムラ</t>
    </rPh>
    <rPh sb="3" eb="4">
      <t>サ</t>
    </rPh>
    <rPh sb="4" eb="5">
      <t>ヒメ</t>
    </rPh>
    <phoneticPr fontId="4"/>
  </si>
  <si>
    <t>新郎かほく、新婦南砺市出身　新婦前職の人からのご紹介　ゲスト目線　おもてなし　会場の居心地と雰囲気重視</t>
    <rPh sb="0" eb="2">
      <t>シンロウ</t>
    </rPh>
    <rPh sb="6" eb="8">
      <t>シンプ</t>
    </rPh>
    <rPh sb="8" eb="11">
      <t>ナントシ</t>
    </rPh>
    <rPh sb="11" eb="13">
      <t>シュッシン</t>
    </rPh>
    <rPh sb="14" eb="16">
      <t>シンプ</t>
    </rPh>
    <rPh sb="16" eb="18">
      <t>ゼンショク</t>
    </rPh>
    <rPh sb="19" eb="20">
      <t>ヒト</t>
    </rPh>
    <rPh sb="24" eb="26">
      <t>ショウカイ</t>
    </rPh>
    <rPh sb="30" eb="32">
      <t>メセン</t>
    </rPh>
    <rPh sb="39" eb="41">
      <t>カイジョウ</t>
    </rPh>
    <rPh sb="42" eb="45">
      <t>イゴコチ</t>
    </rPh>
    <rPh sb="46" eb="49">
      <t>フンイキ</t>
    </rPh>
    <rPh sb="49" eb="51">
      <t>ジュウシ</t>
    </rPh>
    <phoneticPr fontId="4"/>
  </si>
  <si>
    <t>本家幸枝</t>
    <rPh sb="0" eb="2">
      <t>ホンケ</t>
    </rPh>
    <rPh sb="2" eb="4">
      <t>ユキエ</t>
    </rPh>
    <phoneticPr fontId="4"/>
  </si>
  <si>
    <t>挙式＋親族食事会</t>
    <rPh sb="0" eb="2">
      <t>キョシキ</t>
    </rPh>
    <rPh sb="3" eb="8">
      <t>シンゾクショクジカイ</t>
    </rPh>
    <phoneticPr fontId="4"/>
  </si>
  <si>
    <t>もりりゅうせい</t>
    <phoneticPr fontId="4"/>
  </si>
  <si>
    <t>かわぎしのぞみ</t>
    <phoneticPr fontId="4"/>
  </si>
  <si>
    <t>黒田　康介</t>
    <rPh sb="0" eb="2">
      <t>クロダ</t>
    </rPh>
    <rPh sb="3" eb="5">
      <t>コウスケ</t>
    </rPh>
    <phoneticPr fontId="4"/>
  </si>
  <si>
    <t>５月～７月フォトのみか会食もあるかも/挨拶未/見積もり未提示</t>
    <rPh sb="1" eb="2">
      <t>ガツ</t>
    </rPh>
    <rPh sb="4" eb="5">
      <t>ガツ</t>
    </rPh>
    <rPh sb="11" eb="13">
      <t>カイショク</t>
    </rPh>
    <rPh sb="19" eb="22">
      <t>アイサツミ</t>
    </rPh>
    <rPh sb="23" eb="25">
      <t>ミツ</t>
    </rPh>
    <rPh sb="27" eb="30">
      <t>ミテイジ</t>
    </rPh>
    <phoneticPr fontId="4"/>
  </si>
  <si>
    <t>12/22新婦より　家族で話し合い富山で会場を探すことになり　再来をキャンセルTELあり　仮は一旦キャンセルだが、改めて12/25にｳﾞｨｰﾆｭ見学の為再来予定。新郎宝達志水、新婦小矢部。ｲﾝｽﾀ広告で知った(ｱｯﾄﾎｰﾑっぽくて良いと思った)。試食ﾁｹｯﾄお渡し。挙式+会食希望、親族同士の団欒の会が良い。会場の雰囲気と予算が重視。</t>
    <rPh sb="5" eb="7">
      <t>シンプ</t>
    </rPh>
    <rPh sb="10" eb="12">
      <t>カゾク</t>
    </rPh>
    <rPh sb="13" eb="14">
      <t>ハナ</t>
    </rPh>
    <rPh sb="15" eb="16">
      <t>ア</t>
    </rPh>
    <rPh sb="17" eb="19">
      <t>トヤマ</t>
    </rPh>
    <rPh sb="20" eb="22">
      <t>カイジョウ</t>
    </rPh>
    <rPh sb="23" eb="24">
      <t>サガ</t>
    </rPh>
    <rPh sb="31" eb="33">
      <t>サイライ</t>
    </rPh>
    <rPh sb="45" eb="46">
      <t>カリ</t>
    </rPh>
    <rPh sb="47" eb="49">
      <t>イッタン</t>
    </rPh>
    <rPh sb="57" eb="58">
      <t>アラタ</t>
    </rPh>
    <rPh sb="72" eb="74">
      <t>ケンガク</t>
    </rPh>
    <rPh sb="75" eb="76">
      <t>タメ</t>
    </rPh>
    <rPh sb="76" eb="78">
      <t>サイライ</t>
    </rPh>
    <rPh sb="78" eb="80">
      <t>ヨテイ</t>
    </rPh>
    <rPh sb="81" eb="83">
      <t>シンロウ</t>
    </rPh>
    <rPh sb="83" eb="87">
      <t>ホウダツシミズ</t>
    </rPh>
    <rPh sb="88" eb="90">
      <t>シンプ</t>
    </rPh>
    <rPh sb="90" eb="93">
      <t>オヤベ</t>
    </rPh>
    <rPh sb="98" eb="100">
      <t>コウコク</t>
    </rPh>
    <rPh sb="101" eb="102">
      <t>シ</t>
    </rPh>
    <rPh sb="115" eb="116">
      <t>ヨ</t>
    </rPh>
    <rPh sb="118" eb="119">
      <t>オモ</t>
    </rPh>
    <rPh sb="123" eb="125">
      <t>シショク</t>
    </rPh>
    <rPh sb="130" eb="131">
      <t>ワタ</t>
    </rPh>
    <rPh sb="133" eb="135">
      <t>キョシキ</t>
    </rPh>
    <rPh sb="136" eb="138">
      <t>カイショク</t>
    </rPh>
    <rPh sb="138" eb="140">
      <t>キボウ</t>
    </rPh>
    <rPh sb="141" eb="145">
      <t>シンゾクドウシ</t>
    </rPh>
    <rPh sb="146" eb="148">
      <t>ダンラン</t>
    </rPh>
    <rPh sb="149" eb="150">
      <t>カイ</t>
    </rPh>
    <rPh sb="151" eb="152">
      <t>ヨ</t>
    </rPh>
    <rPh sb="154" eb="156">
      <t>カイジョウ</t>
    </rPh>
    <rPh sb="157" eb="160">
      <t>フンイキ</t>
    </rPh>
    <rPh sb="161" eb="163">
      <t>ヨサン</t>
    </rPh>
    <rPh sb="164" eb="166">
      <t>ジュウシ</t>
    </rPh>
    <phoneticPr fontId="4"/>
  </si>
  <si>
    <t>竹本琢磨</t>
    <phoneticPr fontId="4"/>
  </si>
  <si>
    <t>新郎富山市　新婦南砺市出身　挙式＋会食イメージ　料理重視　アットホームに　辻家に４件目(ぶどう見学後）</t>
    <rPh sb="0" eb="2">
      <t>シンロウ</t>
    </rPh>
    <rPh sb="2" eb="5">
      <t>トヤマシ</t>
    </rPh>
    <rPh sb="6" eb="8">
      <t>シンプ</t>
    </rPh>
    <rPh sb="8" eb="11">
      <t>ナントシ</t>
    </rPh>
    <rPh sb="11" eb="13">
      <t>シュッシン</t>
    </rPh>
    <rPh sb="14" eb="16">
      <t>キョシキ</t>
    </rPh>
    <rPh sb="17" eb="19">
      <t>カイショク</t>
    </rPh>
    <rPh sb="24" eb="26">
      <t>リョウリ</t>
    </rPh>
    <rPh sb="26" eb="28">
      <t>ジュウシ</t>
    </rPh>
    <rPh sb="37" eb="39">
      <t>ツジケ</t>
    </rPh>
    <rPh sb="41" eb="43">
      <t>ケンメ</t>
    </rPh>
    <rPh sb="47" eb="50">
      <t>ケンガクゴ</t>
    </rPh>
    <phoneticPr fontId="4"/>
  </si>
  <si>
    <t>村西 千春</t>
  </si>
  <si>
    <t>名前伺ってないです</t>
    <rPh sb="0" eb="3">
      <t>ナマエウカガ</t>
    </rPh>
    <phoneticPr fontId="4"/>
  </si>
  <si>
    <t>森田　菫</t>
    <rPh sb="0" eb="2">
      <t>モリタ</t>
    </rPh>
    <rPh sb="3" eb="4">
      <t>スミレ</t>
    </rPh>
    <phoneticPr fontId="4"/>
  </si>
  <si>
    <t xml:space="preserve"> 08063589246　白山市馬場2丁目82番地ファミーユ松任C102</t>
    <phoneticPr fontId="4"/>
  </si>
  <si>
    <t>12/29新婦と新婦母のみ。チャペルのみチラ見せ。来年11月末ごろ希望。新婦姉が8月出産の為、その4か月後を希望。6月7月も話をしたが、4月から新婦の職場が変わる予定で、バタバタしそうで心配とのこと。竹田の名刺とパンフレットをお渡し済み。</t>
    <rPh sb="5" eb="7">
      <t>シンプ</t>
    </rPh>
    <rPh sb="8" eb="10">
      <t>シンプ</t>
    </rPh>
    <rPh sb="10" eb="11">
      <t>ハハ</t>
    </rPh>
    <rPh sb="22" eb="23">
      <t>ミ</t>
    </rPh>
    <rPh sb="25" eb="27">
      <t>ライネン</t>
    </rPh>
    <rPh sb="29" eb="31">
      <t>ガツマツ</t>
    </rPh>
    <rPh sb="33" eb="35">
      <t>キボウ</t>
    </rPh>
    <rPh sb="36" eb="38">
      <t>シンプ</t>
    </rPh>
    <rPh sb="38" eb="39">
      <t>アネ</t>
    </rPh>
    <rPh sb="41" eb="44">
      <t>ガツシュッサン</t>
    </rPh>
    <rPh sb="45" eb="46">
      <t>タメ</t>
    </rPh>
    <rPh sb="51" eb="53">
      <t>ゲツゴ</t>
    </rPh>
    <rPh sb="54" eb="56">
      <t>キボウ</t>
    </rPh>
    <rPh sb="58" eb="59">
      <t>ガツ</t>
    </rPh>
    <rPh sb="60" eb="61">
      <t>ガツ</t>
    </rPh>
    <rPh sb="62" eb="63">
      <t>ハナシ</t>
    </rPh>
    <rPh sb="69" eb="70">
      <t>ガツ</t>
    </rPh>
    <rPh sb="72" eb="74">
      <t>シンプ</t>
    </rPh>
    <rPh sb="75" eb="77">
      <t>ショクバ</t>
    </rPh>
    <rPh sb="78" eb="79">
      <t>カ</t>
    </rPh>
    <rPh sb="81" eb="83">
      <t>ヨテイ</t>
    </rPh>
    <rPh sb="93" eb="95">
      <t>シンパイ</t>
    </rPh>
    <rPh sb="100" eb="102">
      <t>タケダ</t>
    </rPh>
    <rPh sb="103" eb="105">
      <t>メイシ</t>
    </rPh>
    <rPh sb="114" eb="115">
      <t>ワタ</t>
    </rPh>
    <rPh sb="116" eb="117">
      <t>ズ</t>
    </rPh>
    <phoneticPr fontId="4"/>
  </si>
  <si>
    <t>お子様連れ。他社の見積もり額覚えていない。</t>
    <rPh sb="1" eb="4">
      <t>コサマツ</t>
    </rPh>
    <rPh sb="6" eb="8">
      <t>タシャ</t>
    </rPh>
    <rPh sb="9" eb="11">
      <t>ミツ</t>
    </rPh>
    <rPh sb="13" eb="14">
      <t>ガク</t>
    </rPh>
    <rPh sb="14" eb="15">
      <t>オボ</t>
    </rPh>
    <phoneticPr fontId="4"/>
  </si>
  <si>
    <t>寺元　佑実</t>
    <rPh sb="0" eb="2">
      <t>テラモト</t>
    </rPh>
    <rPh sb="3" eb="4">
      <t>スケ</t>
    </rPh>
    <rPh sb="4" eb="5">
      <t>ミ</t>
    </rPh>
    <phoneticPr fontId="4"/>
  </si>
  <si>
    <t>未定</t>
    <rPh sb="0" eb="2">
      <t>ミテイ</t>
    </rPh>
    <phoneticPr fontId="4"/>
  </si>
  <si>
    <t>鈴森　由佳</t>
    <rPh sb="0" eb="2">
      <t>スズモリ</t>
    </rPh>
    <rPh sb="3" eb="5">
      <t>ユカ</t>
    </rPh>
    <phoneticPr fontId="4"/>
  </si>
  <si>
    <t>no181の方　再予約。本当に結婚式をやる心持ちになっていない？時期未定。人数未定。楽しく無さそう。</t>
    <rPh sb="6" eb="7">
      <t>カタ</t>
    </rPh>
    <rPh sb="8" eb="11">
      <t>サイヨヤク</t>
    </rPh>
    <rPh sb="12" eb="14">
      <t>ホントウ</t>
    </rPh>
    <rPh sb="15" eb="18">
      <t>ケッコンシキ</t>
    </rPh>
    <rPh sb="21" eb="23">
      <t>ココロモチ</t>
    </rPh>
    <rPh sb="32" eb="36">
      <t>ジキミテイ</t>
    </rPh>
    <rPh sb="37" eb="41">
      <t>ニンズウミテイ</t>
    </rPh>
    <rPh sb="42" eb="43">
      <t>タノ</t>
    </rPh>
    <rPh sb="45" eb="46">
      <t>ナ</t>
    </rPh>
    <phoneticPr fontId="4"/>
  </si>
  <si>
    <t>田中　亮太</t>
    <rPh sb="0" eb="2">
      <t>タナカ</t>
    </rPh>
    <rPh sb="3" eb="5">
      <t>リョウタ</t>
    </rPh>
    <phoneticPr fontId="4"/>
  </si>
  <si>
    <t>新郎小松、新婦金沢出身　新郎富山在住　4月から同棲開始　挙式＋食事会(友人も数名有）和装・洋装写真撮りしたい　</t>
    <rPh sb="0" eb="4">
      <t>シンロウコマツ</t>
    </rPh>
    <rPh sb="5" eb="7">
      <t>シンプ</t>
    </rPh>
    <rPh sb="7" eb="9">
      <t>カナザワ</t>
    </rPh>
    <rPh sb="9" eb="11">
      <t>シュッシン</t>
    </rPh>
    <rPh sb="12" eb="14">
      <t>シンロウ</t>
    </rPh>
    <rPh sb="14" eb="16">
      <t>トヤマ</t>
    </rPh>
    <rPh sb="16" eb="18">
      <t>ザイジュウ</t>
    </rPh>
    <rPh sb="20" eb="21">
      <t>ガツ</t>
    </rPh>
    <rPh sb="23" eb="27">
      <t>ドウセイカイシ</t>
    </rPh>
    <rPh sb="28" eb="30">
      <t>キョシキ</t>
    </rPh>
    <rPh sb="31" eb="34">
      <t>ショクジカイ</t>
    </rPh>
    <rPh sb="35" eb="37">
      <t>ユウジン</t>
    </rPh>
    <rPh sb="38" eb="40">
      <t>スウメイ</t>
    </rPh>
    <rPh sb="40" eb="41">
      <t>アリ</t>
    </rPh>
    <rPh sb="42" eb="44">
      <t>ワソウ</t>
    </rPh>
    <rPh sb="45" eb="47">
      <t>ヨウソウ</t>
    </rPh>
    <rPh sb="47" eb="49">
      <t>シャシン</t>
    </rPh>
    <rPh sb="49" eb="50">
      <t>ト</t>
    </rPh>
    <phoneticPr fontId="4"/>
  </si>
  <si>
    <t>細川　大潤</t>
    <rPh sb="0" eb="2">
      <t>ホソカワ</t>
    </rPh>
    <rPh sb="3" eb="4">
      <t>ダイ</t>
    </rPh>
    <rPh sb="4" eb="5">
      <t>ジュン</t>
    </rPh>
    <phoneticPr fontId="4"/>
  </si>
  <si>
    <t>〒9200346 石川県金沢市藤江南1-96セピアコートK101　09080917023　uetoayano86a@yahoo.co.jp</t>
    <phoneticPr fontId="4"/>
  </si>
  <si>
    <t>1/14来館予定だったが仕事のためなびより1/12キャンセルTEL</t>
    <rPh sb="4" eb="8">
      <t>ライカンヨテイ</t>
    </rPh>
    <rPh sb="12" eb="14">
      <t>シゴト</t>
    </rPh>
    <phoneticPr fontId="4"/>
  </si>
  <si>
    <t>他決（多分ｱﾏﾝﾀﾞﾝ）　結婚式でしか入れない会場のほうが特別感があるという親の意見で決定　資料請求→12/4に見学予約(→フェア予約に切り替え)。ぶどうの森のレストランや洋菓子店の店舗で知った</t>
    <rPh sb="0" eb="2">
      <t>タケツ</t>
    </rPh>
    <rPh sb="3" eb="5">
      <t>タブン</t>
    </rPh>
    <rPh sb="13" eb="16">
      <t>ケッコンシキ</t>
    </rPh>
    <rPh sb="19" eb="20">
      <t>ハイ</t>
    </rPh>
    <rPh sb="23" eb="25">
      <t>カイジョウ</t>
    </rPh>
    <rPh sb="29" eb="32">
      <t>トクベツカン</t>
    </rPh>
    <rPh sb="38" eb="39">
      <t>オヤ</t>
    </rPh>
    <rPh sb="40" eb="42">
      <t>イケン</t>
    </rPh>
    <rPh sb="43" eb="45">
      <t>ケッテイ</t>
    </rPh>
    <rPh sb="46" eb="50">
      <t>シリョウセイキュウ</t>
    </rPh>
    <rPh sb="56" eb="60">
      <t>ケンガクヨヤク</t>
    </rPh>
    <rPh sb="65" eb="67">
      <t>ヨヤク</t>
    </rPh>
    <rPh sb="68" eb="69">
      <t>キ</t>
    </rPh>
    <rPh sb="70" eb="71">
      <t>カ</t>
    </rPh>
    <rPh sb="94" eb="95">
      <t>シ</t>
    </rPh>
    <phoneticPr fontId="4"/>
  </si>
  <si>
    <t>門木　大地</t>
    <rPh sb="0" eb="2">
      <t>カドキ</t>
    </rPh>
    <rPh sb="3" eb="5">
      <t>ダイチ</t>
    </rPh>
    <phoneticPr fontId="4"/>
  </si>
  <si>
    <t>岸　三奈美</t>
    <rPh sb="0" eb="1">
      <t>キシ</t>
    </rPh>
    <phoneticPr fontId="4"/>
  </si>
  <si>
    <t>新郎輪島、新婦白山出身　友人の紹介　予算・料理・衣裳・雰囲気・交通の便が軸</t>
    <rPh sb="0" eb="2">
      <t>シンロウ</t>
    </rPh>
    <rPh sb="2" eb="4">
      <t>ワジマ</t>
    </rPh>
    <rPh sb="5" eb="7">
      <t>シンプ</t>
    </rPh>
    <rPh sb="7" eb="9">
      <t>ハクサン</t>
    </rPh>
    <rPh sb="9" eb="11">
      <t>シュッシン</t>
    </rPh>
    <rPh sb="12" eb="14">
      <t>ユウジン</t>
    </rPh>
    <rPh sb="15" eb="17">
      <t>ショウカイ</t>
    </rPh>
    <rPh sb="18" eb="20">
      <t>ヨサン</t>
    </rPh>
    <rPh sb="21" eb="23">
      <t>リョウリ</t>
    </rPh>
    <rPh sb="24" eb="26">
      <t>イショウ</t>
    </rPh>
    <rPh sb="27" eb="30">
      <t>フンイキ</t>
    </rPh>
    <rPh sb="31" eb="33">
      <t>コウツウ</t>
    </rPh>
    <rPh sb="34" eb="35">
      <t>ベン</t>
    </rPh>
    <rPh sb="36" eb="37">
      <t>ジク</t>
    </rPh>
    <phoneticPr fontId="4"/>
  </si>
  <si>
    <t>石本健介</t>
    <rPh sb="0" eb="2">
      <t>イシモト</t>
    </rPh>
    <rPh sb="2" eb="4">
      <t>ケンスケ</t>
    </rPh>
    <phoneticPr fontId="4"/>
  </si>
  <si>
    <t>村上清香</t>
    <rPh sb="0" eb="2">
      <t>ムラカミ</t>
    </rPh>
    <rPh sb="2" eb="4">
      <t>サヤカ</t>
    </rPh>
    <phoneticPr fontId="4"/>
  </si>
  <si>
    <t>岡崎　義樹</t>
    <rPh sb="0" eb="2">
      <t>オカザキ</t>
    </rPh>
    <rPh sb="3" eb="4">
      <t>ギ</t>
    </rPh>
    <rPh sb="4" eb="5">
      <t>キ</t>
    </rPh>
    <phoneticPr fontId="4"/>
  </si>
  <si>
    <t>大島　彩</t>
    <rPh sb="0" eb="2">
      <t>オオシマ</t>
    </rPh>
    <rPh sb="3" eb="4">
      <t>アヤ</t>
    </rPh>
    <phoneticPr fontId="4"/>
  </si>
  <si>
    <t>小谷 剛弘</t>
  </si>
  <si>
    <t>押田　静香</t>
  </si>
  <si>
    <t>藤村　奈々子</t>
    <rPh sb="0" eb="2">
      <t>フジムラ</t>
    </rPh>
    <rPh sb="3" eb="6">
      <t>ナナコ</t>
    </rPh>
    <phoneticPr fontId="4"/>
  </si>
  <si>
    <t>新郎富山、新婦金沢出身　予算重視　新婦衣裳重視　WD写真撮りも希望　平日婚も有　親御様にご挨拶後、新郎の転勤場所がわかり次第日程検討する　</t>
    <rPh sb="0" eb="2">
      <t>シンロウ</t>
    </rPh>
    <rPh sb="2" eb="4">
      <t>トヤマ</t>
    </rPh>
    <rPh sb="5" eb="7">
      <t>シンプ</t>
    </rPh>
    <rPh sb="7" eb="9">
      <t>カナザワ</t>
    </rPh>
    <rPh sb="9" eb="11">
      <t>シュッシン</t>
    </rPh>
    <rPh sb="12" eb="16">
      <t>ヨサンジュウシ</t>
    </rPh>
    <rPh sb="17" eb="19">
      <t>シンプ</t>
    </rPh>
    <rPh sb="19" eb="21">
      <t>イショウ</t>
    </rPh>
    <rPh sb="21" eb="23">
      <t>ジュウシ</t>
    </rPh>
    <rPh sb="26" eb="28">
      <t>シャシン</t>
    </rPh>
    <rPh sb="28" eb="29">
      <t>ト</t>
    </rPh>
    <rPh sb="31" eb="33">
      <t>キボウ</t>
    </rPh>
    <rPh sb="34" eb="36">
      <t>ヘイジツ</t>
    </rPh>
    <rPh sb="36" eb="37">
      <t>コン</t>
    </rPh>
    <rPh sb="38" eb="39">
      <t>ア</t>
    </rPh>
    <rPh sb="40" eb="43">
      <t>オヤゴサマ</t>
    </rPh>
    <rPh sb="45" eb="48">
      <t>アイサツゴ</t>
    </rPh>
    <rPh sb="49" eb="51">
      <t>シンロウ</t>
    </rPh>
    <rPh sb="52" eb="54">
      <t>テンキン</t>
    </rPh>
    <rPh sb="54" eb="56">
      <t>バショ</t>
    </rPh>
    <rPh sb="60" eb="62">
      <t>シダイ</t>
    </rPh>
    <rPh sb="62" eb="64">
      <t>ニッテイ</t>
    </rPh>
    <rPh sb="64" eb="66">
      <t>ケントウ</t>
    </rPh>
    <phoneticPr fontId="4"/>
  </si>
  <si>
    <t>予算合わずロスト　ちい婚より当日予約　予算重視　結婚式or予算が合わなかったら写真撮り</t>
    <rPh sb="0" eb="3">
      <t>ヨサンア</t>
    </rPh>
    <rPh sb="11" eb="12">
      <t>コン</t>
    </rPh>
    <rPh sb="14" eb="18">
      <t>トウジツヨヤク</t>
    </rPh>
    <rPh sb="19" eb="23">
      <t>ヨサンジュウシ</t>
    </rPh>
    <rPh sb="24" eb="27">
      <t>ケッコンシキ</t>
    </rPh>
    <rPh sb="29" eb="31">
      <t>ヨサン</t>
    </rPh>
    <rPh sb="32" eb="33">
      <t>ア</t>
    </rPh>
    <rPh sb="39" eb="42">
      <t>シャシンド</t>
    </rPh>
    <phoneticPr fontId="4"/>
  </si>
  <si>
    <t>良波祥吾</t>
    <rPh sb="0" eb="1">
      <t>ヨ</t>
    </rPh>
    <rPh sb="1" eb="2">
      <t>ナミ</t>
    </rPh>
    <rPh sb="2" eb="3">
      <t>ショウ</t>
    </rPh>
    <rPh sb="3" eb="4">
      <t>ゴ</t>
    </rPh>
    <phoneticPr fontId="4"/>
  </si>
  <si>
    <t>越田 敦子</t>
    <phoneticPr fontId="4"/>
  </si>
  <si>
    <t>〒9202143 石川県白山市七原町チ88  1242.o.achu@i.softbank.jp</t>
    <phoneticPr fontId="4"/>
  </si>
  <si>
    <t>東野　将也</t>
    <rPh sb="0" eb="1">
      <t>ヒガシ</t>
    </rPh>
    <rPh sb="1" eb="2">
      <t>ノ</t>
    </rPh>
    <rPh sb="3" eb="5">
      <t>マサヤ</t>
    </rPh>
    <phoneticPr fontId="4"/>
  </si>
  <si>
    <t>小谷　あゆ美</t>
    <rPh sb="0" eb="2">
      <t>オダニ</t>
    </rPh>
    <rPh sb="5" eb="6">
      <t>ミ</t>
    </rPh>
    <phoneticPr fontId="4"/>
  </si>
  <si>
    <t>新郎金沢、新婦羽咋。予算が最重視。見積もり3種。式のみ(よそで食事)、式＋親族食事、式＋宴の3パターンで検討。LINEつながった。結婚式はするもの。あまり意味は無さそう。儀式。</t>
    <rPh sb="2" eb="4">
      <t>カナザワ</t>
    </rPh>
    <rPh sb="5" eb="7">
      <t>シンプ</t>
    </rPh>
    <rPh sb="7" eb="9">
      <t>ハクイ</t>
    </rPh>
    <rPh sb="10" eb="12">
      <t>ヨサン</t>
    </rPh>
    <rPh sb="13" eb="16">
      <t>サイジュウシ</t>
    </rPh>
    <rPh sb="17" eb="19">
      <t>ミツ</t>
    </rPh>
    <rPh sb="22" eb="23">
      <t>シュ</t>
    </rPh>
    <rPh sb="24" eb="25">
      <t>シキ</t>
    </rPh>
    <rPh sb="31" eb="33">
      <t>ショクジ</t>
    </rPh>
    <rPh sb="35" eb="37">
      <t>シキタス</t>
    </rPh>
    <rPh sb="37" eb="39">
      <t>シンゾク</t>
    </rPh>
    <rPh sb="39" eb="41">
      <t>ショクジ</t>
    </rPh>
    <rPh sb="42" eb="44">
      <t>シキタス</t>
    </rPh>
    <rPh sb="44" eb="45">
      <t>エン</t>
    </rPh>
    <rPh sb="52" eb="54">
      <t>ケントウ</t>
    </rPh>
    <rPh sb="65" eb="68">
      <t>ケッコンシキ</t>
    </rPh>
    <rPh sb="77" eb="79">
      <t>イミ</t>
    </rPh>
    <rPh sb="80" eb="81">
      <t>ナ</t>
    </rPh>
    <rPh sb="85" eb="87">
      <t>ギシキ</t>
    </rPh>
    <phoneticPr fontId="4"/>
  </si>
  <si>
    <t>江川あゆむ</t>
    <rPh sb="0" eb="2">
      <t>エガワ</t>
    </rPh>
    <phoneticPr fontId="4"/>
  </si>
  <si>
    <t>〒3340011 埼玉県川口市三ツ和1丁目8-5-203　a@san9.net</t>
    <phoneticPr fontId="4"/>
  </si>
  <si>
    <t>森春樹</t>
    <rPh sb="0" eb="1">
      <t>モリ</t>
    </rPh>
    <rPh sb="1" eb="2">
      <t>ハル</t>
    </rPh>
    <rPh sb="2" eb="3">
      <t>キ</t>
    </rPh>
    <phoneticPr fontId="4"/>
  </si>
  <si>
    <t>ご挨拶、入籍日未定　今年は写真撮りをして　来年挙式予定</t>
    <rPh sb="1" eb="3">
      <t>アイサツ</t>
    </rPh>
    <rPh sb="4" eb="6">
      <t>ニュウセキ</t>
    </rPh>
    <rPh sb="6" eb="7">
      <t>ヒ</t>
    </rPh>
    <rPh sb="7" eb="9">
      <t>ミテイ</t>
    </rPh>
    <rPh sb="10" eb="12">
      <t>コトシ</t>
    </rPh>
    <rPh sb="13" eb="16">
      <t>シャシンド</t>
    </rPh>
    <rPh sb="21" eb="23">
      <t>ライネン</t>
    </rPh>
    <rPh sb="23" eb="25">
      <t>キョシキ</t>
    </rPh>
    <rPh sb="25" eb="27">
      <t>ヨテイ</t>
    </rPh>
    <phoneticPr fontId="4"/>
  </si>
  <si>
    <t>梶　翔平</t>
    <rPh sb="0" eb="1">
      <t>カジ</t>
    </rPh>
    <rPh sb="2" eb="4">
      <t>ショウヘイ</t>
    </rPh>
    <phoneticPr fontId="4"/>
  </si>
  <si>
    <t>奥　英理子</t>
    <rPh sb="0" eb="1">
      <t>オク</t>
    </rPh>
    <rPh sb="2" eb="3">
      <t>エイ</t>
    </rPh>
    <rPh sb="3" eb="4">
      <t>リ</t>
    </rPh>
    <rPh sb="4" eb="5">
      <t>コ</t>
    </rPh>
    <phoneticPr fontId="4"/>
  </si>
  <si>
    <t>LINEより問い合わせ　リングドッグ希望　予算重視　婦親の希望で結婚式の実施</t>
    <rPh sb="6" eb="7">
      <t>ト</t>
    </rPh>
    <rPh sb="8" eb="9">
      <t>ア</t>
    </rPh>
    <rPh sb="18" eb="20">
      <t>キボウ</t>
    </rPh>
    <rPh sb="21" eb="25">
      <t>ヨサンジュウシ</t>
    </rPh>
    <rPh sb="26" eb="27">
      <t>フ</t>
    </rPh>
    <rPh sb="27" eb="28">
      <t>オヤ</t>
    </rPh>
    <rPh sb="29" eb="31">
      <t>キボウ</t>
    </rPh>
    <rPh sb="32" eb="35">
      <t>ケッコンシキ</t>
    </rPh>
    <rPh sb="36" eb="38">
      <t>ジッシ</t>
    </rPh>
    <phoneticPr fontId="4"/>
  </si>
  <si>
    <t>良波奈津希</t>
    <rPh sb="0" eb="1">
      <t>リョウ</t>
    </rPh>
    <rPh sb="1" eb="2">
      <t>ナミ</t>
    </rPh>
    <rPh sb="2" eb="4">
      <t>ナツ</t>
    </rPh>
    <rPh sb="4" eb="5">
      <t>キ</t>
    </rPh>
    <phoneticPr fontId="4"/>
  </si>
  <si>
    <t>1/17資料請求問い合わせ→1/17フェア予約　〒9430171 新潟県上越市藤野新田1304 アイビス206　資料送付希望　新郎岐阜、新婦大阪。両家のゲストが集まりやすい場所として石川に決定。他社にも資料請求しておりもう少し検討。会場・予算がカギ。2月上旬には決定予定。</t>
    <rPh sb="4" eb="8">
      <t>シリョウセイキュウ</t>
    </rPh>
    <rPh sb="8" eb="9">
      <t>ト</t>
    </rPh>
    <rPh sb="10" eb="11">
      <t>ア</t>
    </rPh>
    <rPh sb="21" eb="23">
      <t>ヨヤク</t>
    </rPh>
    <rPh sb="56" eb="60">
      <t>シリョウソウフ</t>
    </rPh>
    <rPh sb="60" eb="62">
      <t>キボウ</t>
    </rPh>
    <rPh sb="63" eb="65">
      <t>シンロウ</t>
    </rPh>
    <rPh sb="65" eb="67">
      <t>ギフ</t>
    </rPh>
    <rPh sb="68" eb="70">
      <t>シンプ</t>
    </rPh>
    <rPh sb="70" eb="72">
      <t>オオサカ</t>
    </rPh>
    <rPh sb="73" eb="75">
      <t>リョウケ</t>
    </rPh>
    <rPh sb="80" eb="81">
      <t>アツ</t>
    </rPh>
    <rPh sb="86" eb="88">
      <t>バショ</t>
    </rPh>
    <rPh sb="91" eb="93">
      <t>イシカワ</t>
    </rPh>
    <rPh sb="94" eb="96">
      <t>ケッテイ</t>
    </rPh>
    <rPh sb="97" eb="99">
      <t>タシャ</t>
    </rPh>
    <rPh sb="101" eb="105">
      <t>シリョウセイキュウ</t>
    </rPh>
    <rPh sb="111" eb="112">
      <t>スコ</t>
    </rPh>
    <rPh sb="113" eb="115">
      <t>ケントウ</t>
    </rPh>
    <rPh sb="116" eb="118">
      <t>カイジョウ</t>
    </rPh>
    <rPh sb="119" eb="121">
      <t>ヨサン</t>
    </rPh>
    <rPh sb="126" eb="129">
      <t>ガツジョウジュン</t>
    </rPh>
    <rPh sb="131" eb="133">
      <t>ケッテイ</t>
    </rPh>
    <rPh sb="133" eb="135">
      <t>ヨテイ</t>
    </rPh>
    <phoneticPr fontId="4"/>
  </si>
  <si>
    <t>中垣内　麻帆</t>
  </si>
  <si>
    <t>1/29対応できず受付不可</t>
    <rPh sb="4" eb="6">
      <t>タイオウ</t>
    </rPh>
    <rPh sb="9" eb="13">
      <t>ウケツケフカ</t>
    </rPh>
    <phoneticPr fontId="4"/>
  </si>
  <si>
    <t>1/28希望だったが雪の為キャンセル。</t>
    <rPh sb="4" eb="6">
      <t>キボウ</t>
    </rPh>
    <rPh sb="10" eb="11">
      <t>ユキ</t>
    </rPh>
    <rPh sb="12" eb="13">
      <t>タメ</t>
    </rPh>
    <phoneticPr fontId="4"/>
  </si>
  <si>
    <t>竹内 智昭</t>
    <phoneticPr fontId="4"/>
  </si>
  <si>
    <t>〒2990243千葉県袖ケ浦市蔵波2451-2袖ケ浦ヒルサイドレジデンスA-101　arsonmachine0504@gmail.com</t>
    <phoneticPr fontId="4"/>
  </si>
  <si>
    <t>中村　優太</t>
    <rPh sb="0" eb="2">
      <t>ナカムラ</t>
    </rPh>
    <rPh sb="3" eb="5">
      <t>ユウタ</t>
    </rPh>
    <phoneticPr fontId="4"/>
  </si>
  <si>
    <t>田中　麻也</t>
    <rPh sb="0" eb="2">
      <t>タナカ</t>
    </rPh>
    <rPh sb="3" eb="5">
      <t>マヤ</t>
    </rPh>
    <phoneticPr fontId="4"/>
  </si>
  <si>
    <t>富山在住。式のみを遠すぎない場所で検討　親族のみ(友人も一部式のみ)HPも見た　会食はする予定だがそこまでは考えていない(トネル、ヴィーニュ見せた)　</t>
    <rPh sb="0" eb="2">
      <t>トヤマ</t>
    </rPh>
    <rPh sb="2" eb="4">
      <t>ザイジュウ</t>
    </rPh>
    <rPh sb="5" eb="6">
      <t>シキ</t>
    </rPh>
    <rPh sb="9" eb="10">
      <t>トオ</t>
    </rPh>
    <rPh sb="14" eb="16">
      <t>バショ</t>
    </rPh>
    <rPh sb="17" eb="19">
      <t>ケントウ</t>
    </rPh>
    <rPh sb="20" eb="22">
      <t>シンゾク</t>
    </rPh>
    <rPh sb="25" eb="27">
      <t>ユウジン</t>
    </rPh>
    <rPh sb="28" eb="30">
      <t>イチブ</t>
    </rPh>
    <rPh sb="30" eb="31">
      <t>シキ</t>
    </rPh>
    <rPh sb="37" eb="38">
      <t>ミ</t>
    </rPh>
    <rPh sb="40" eb="42">
      <t>カイショク</t>
    </rPh>
    <rPh sb="45" eb="47">
      <t>ヨテイ</t>
    </rPh>
    <rPh sb="54" eb="55">
      <t>カンガ</t>
    </rPh>
    <rPh sb="70" eb="71">
      <t>ミ</t>
    </rPh>
    <phoneticPr fontId="4"/>
  </si>
  <si>
    <t>電話で新婦母から問い合わせあり。40～50名で検討。新郎新婦ともに県外(バラバラ)にいる</t>
    <rPh sb="0" eb="2">
      <t>デンワ</t>
    </rPh>
    <rPh sb="3" eb="6">
      <t>シンプハハ</t>
    </rPh>
    <rPh sb="8" eb="9">
      <t>ト</t>
    </rPh>
    <rPh sb="10" eb="11">
      <t>ア</t>
    </rPh>
    <rPh sb="21" eb="22">
      <t>メイ</t>
    </rPh>
    <rPh sb="23" eb="25">
      <t>ケントウ</t>
    </rPh>
    <rPh sb="26" eb="30">
      <t>シンロウシンプ</t>
    </rPh>
    <rPh sb="33" eb="35">
      <t>ケンガイ</t>
    </rPh>
    <phoneticPr fontId="4"/>
  </si>
  <si>
    <t>名前聞いてない</t>
    <rPh sb="0" eb="3">
      <t>ナマエキ</t>
    </rPh>
    <phoneticPr fontId="4"/>
  </si>
  <si>
    <t>山本けんいち</t>
    <rPh sb="0" eb="2">
      <t>ヤマモト</t>
    </rPh>
    <phoneticPr fontId="4"/>
  </si>
  <si>
    <t>山本えりか</t>
    <rPh sb="0" eb="2">
      <t>ヤマモト</t>
    </rPh>
    <phoneticPr fontId="4"/>
  </si>
  <si>
    <t>試食希望</t>
    <rPh sb="0" eb="4">
      <t>シショクキボウ</t>
    </rPh>
    <phoneticPr fontId="4"/>
  </si>
  <si>
    <t>小林　凌</t>
    <rPh sb="0" eb="2">
      <t>コバヤシ</t>
    </rPh>
    <rPh sb="3" eb="4">
      <t>リョウ</t>
    </rPh>
    <phoneticPr fontId="4"/>
  </si>
  <si>
    <t>浦上　奈菜</t>
    <rPh sb="0" eb="2">
      <t>ウラカミ</t>
    </rPh>
    <rPh sb="3" eb="4">
      <t>ナ</t>
    </rPh>
    <rPh sb="4" eb="5">
      <t>ナ</t>
    </rPh>
    <phoneticPr fontId="4"/>
  </si>
  <si>
    <t>当日予約　郎三重・婦七尾出身　式＋会食３０名？５名？</t>
    <rPh sb="0" eb="2">
      <t>トウジツ</t>
    </rPh>
    <rPh sb="2" eb="4">
      <t>ヨヤク</t>
    </rPh>
    <rPh sb="5" eb="6">
      <t>ロウ</t>
    </rPh>
    <rPh sb="6" eb="8">
      <t>ミエ</t>
    </rPh>
    <rPh sb="9" eb="10">
      <t>フ</t>
    </rPh>
    <rPh sb="10" eb="12">
      <t>ナナオ</t>
    </rPh>
    <rPh sb="12" eb="14">
      <t>シュッシン</t>
    </rPh>
    <rPh sb="15" eb="16">
      <t>シキ</t>
    </rPh>
    <rPh sb="17" eb="19">
      <t>カイショク</t>
    </rPh>
    <rPh sb="21" eb="22">
      <t>メイ</t>
    </rPh>
    <rPh sb="24" eb="25">
      <t>メイ</t>
    </rPh>
    <phoneticPr fontId="4"/>
  </si>
  <si>
    <t>小山田　翔耶</t>
    <rPh sb="0" eb="3">
      <t>コヤマダ</t>
    </rPh>
    <rPh sb="4" eb="5">
      <t>ショウ</t>
    </rPh>
    <rPh sb="5" eb="6">
      <t>ヤ</t>
    </rPh>
    <phoneticPr fontId="4"/>
  </si>
  <si>
    <t>新郎野々市、新婦新潟出身　式＋会食　料理・予算重視　平日でも有かも　WD＋TX？WDのみ？</t>
    <rPh sb="0" eb="2">
      <t>シンロウ</t>
    </rPh>
    <rPh sb="2" eb="5">
      <t>ノノイチ</t>
    </rPh>
    <rPh sb="6" eb="8">
      <t>シンプ</t>
    </rPh>
    <rPh sb="8" eb="10">
      <t>ニイガタ</t>
    </rPh>
    <rPh sb="10" eb="12">
      <t>シュッシン</t>
    </rPh>
    <rPh sb="13" eb="15">
      <t>シキタス</t>
    </rPh>
    <rPh sb="15" eb="17">
      <t>カイショク</t>
    </rPh>
    <rPh sb="18" eb="20">
      <t>リョウリ</t>
    </rPh>
    <rPh sb="21" eb="23">
      <t>ヨサン</t>
    </rPh>
    <rPh sb="23" eb="25">
      <t>ジュウシ</t>
    </rPh>
    <rPh sb="26" eb="28">
      <t>ヘイジツ</t>
    </rPh>
    <rPh sb="30" eb="31">
      <t>アリ</t>
    </rPh>
    <phoneticPr fontId="4"/>
  </si>
  <si>
    <t>松下滉平</t>
    <rPh sb="0" eb="2">
      <t>マツシタ</t>
    </rPh>
    <rPh sb="2" eb="4">
      <t>コウヘイ</t>
    </rPh>
    <phoneticPr fontId="4"/>
  </si>
  <si>
    <t>松下菜保美</t>
    <rPh sb="0" eb="2">
      <t>マツシタ</t>
    </rPh>
    <rPh sb="2" eb="3">
      <t>ナ</t>
    </rPh>
    <rPh sb="3" eb="4">
      <t>ホ</t>
    </rPh>
    <rPh sb="4" eb="5">
      <t>ミ</t>
    </rPh>
    <phoneticPr fontId="4"/>
  </si>
  <si>
    <t>企画池田さんご紹介　2/20試食で再来　他会場もどこか見学行きたい　友人が多い披露宴　</t>
    <rPh sb="0" eb="2">
      <t>キカク</t>
    </rPh>
    <rPh sb="2" eb="4">
      <t>イケダ</t>
    </rPh>
    <rPh sb="7" eb="9">
      <t>ショウカイ</t>
    </rPh>
    <rPh sb="14" eb="16">
      <t>シショク</t>
    </rPh>
    <rPh sb="17" eb="19">
      <t>サイライ</t>
    </rPh>
    <rPh sb="20" eb="23">
      <t>タカイジョウ</t>
    </rPh>
    <rPh sb="27" eb="30">
      <t>ケンガクイ</t>
    </rPh>
    <rPh sb="34" eb="36">
      <t>ユウジン</t>
    </rPh>
    <rPh sb="37" eb="38">
      <t>オオ</t>
    </rPh>
    <rPh sb="39" eb="42">
      <t>ヒロウエン</t>
    </rPh>
    <phoneticPr fontId="4"/>
  </si>
  <si>
    <t>村西昭憲</t>
    <rPh sb="0" eb="2">
      <t>ムラニシ</t>
    </rPh>
    <rPh sb="2" eb="3">
      <t>アキ</t>
    </rPh>
    <phoneticPr fontId="4"/>
  </si>
  <si>
    <t xml:space="preserve">親族＋友人食事会　グレイス真田先生よりご紹介　年内予定　12/26資料請求→1/21フェア予約　〒9200201 石川県金沢市みずき2-26  chr199501060723@gmail.com 08042581166
</t>
    <rPh sb="0" eb="2">
      <t>シンゾク</t>
    </rPh>
    <rPh sb="3" eb="5">
      <t>ユウジン</t>
    </rPh>
    <rPh sb="5" eb="8">
      <t>ショクジカイ</t>
    </rPh>
    <rPh sb="45" eb="47">
      <t>ヨヤク</t>
    </rPh>
    <rPh sb="59" eb="60">
      <t>ケン</t>
    </rPh>
    <phoneticPr fontId="4"/>
  </si>
  <si>
    <t>西　里紗</t>
    <rPh sb="0" eb="1">
      <t>ニシ</t>
    </rPh>
    <rPh sb="2" eb="4">
      <t>リサ</t>
    </rPh>
    <phoneticPr fontId="4"/>
  </si>
  <si>
    <t>宮口　誠</t>
    <rPh sb="0" eb="2">
      <t>ミヤグチ</t>
    </rPh>
    <rPh sb="3" eb="4">
      <t>マコト</t>
    </rPh>
    <phoneticPr fontId="4"/>
  </si>
  <si>
    <t>桑沢 日菜子</t>
    <phoneticPr fontId="4"/>
  </si>
  <si>
    <t>〒9200348石川県金沢市松村5丁目123　hina110913@icloud.com</t>
    <phoneticPr fontId="4"/>
  </si>
  <si>
    <t>高井美咲</t>
    <phoneticPr fontId="4"/>
  </si>
  <si>
    <t>〒6510093 兵庫県神戸市中央区二宮町1-4-15-301　09016341732　 takai313misaki@gmail.com</t>
    <phoneticPr fontId="4"/>
  </si>
  <si>
    <t>水口　寛菜</t>
    <rPh sb="0" eb="2">
      <t>ミズクチ</t>
    </rPh>
    <rPh sb="3" eb="5">
      <t>カンナ</t>
    </rPh>
    <phoneticPr fontId="4"/>
  </si>
  <si>
    <t>高校から10年お付き合い。少人数 結婚式で検索して「ぶどうの森W」知った。親へのご挨拶はこれから入籍は5月予定。スタッフがポイント。</t>
    <rPh sb="0" eb="2">
      <t>コウコウ</t>
    </rPh>
    <rPh sb="6" eb="7">
      <t>ネン</t>
    </rPh>
    <rPh sb="8" eb="9">
      <t>ツ</t>
    </rPh>
    <rPh sb="10" eb="11">
      <t>ア</t>
    </rPh>
    <rPh sb="13" eb="16">
      <t>ショウニンズウ</t>
    </rPh>
    <rPh sb="17" eb="20">
      <t>ケッコンシキ</t>
    </rPh>
    <rPh sb="21" eb="23">
      <t>ケンサク</t>
    </rPh>
    <rPh sb="30" eb="31">
      <t>モリ</t>
    </rPh>
    <rPh sb="33" eb="34">
      <t>シ</t>
    </rPh>
    <rPh sb="37" eb="38">
      <t>オヤ</t>
    </rPh>
    <rPh sb="41" eb="43">
      <t>アイサツ</t>
    </rPh>
    <rPh sb="48" eb="50">
      <t>ニュウセキ</t>
    </rPh>
    <rPh sb="52" eb="55">
      <t>ガツヨテイ</t>
    </rPh>
    <phoneticPr fontId="4"/>
  </si>
  <si>
    <t>九十九　勇希</t>
    <rPh sb="0" eb="3">
      <t>ツクモ</t>
    </rPh>
    <rPh sb="4" eb="6">
      <t>ユウキ</t>
    </rPh>
    <phoneticPr fontId="4"/>
  </si>
  <si>
    <t>本康　茉侑</t>
    <rPh sb="0" eb="1">
      <t>ホン</t>
    </rPh>
    <rPh sb="1" eb="2">
      <t>ヤス</t>
    </rPh>
    <rPh sb="3" eb="5">
      <t>マユ</t>
    </rPh>
    <phoneticPr fontId="4"/>
  </si>
  <si>
    <t>新郎内灘、新婦金沢出身　婦姉が１０年前に会場見学で来ており、イメージが良く新婦に紹介　</t>
    <rPh sb="0" eb="2">
      <t>シンロウ</t>
    </rPh>
    <rPh sb="2" eb="4">
      <t>ウチナダ</t>
    </rPh>
    <rPh sb="5" eb="7">
      <t>シンプ</t>
    </rPh>
    <rPh sb="7" eb="11">
      <t>カナザワシュッシン</t>
    </rPh>
    <rPh sb="12" eb="14">
      <t>フアネ</t>
    </rPh>
    <rPh sb="17" eb="19">
      <t>ネンマエ</t>
    </rPh>
    <rPh sb="20" eb="24">
      <t>カイジョウケンガク</t>
    </rPh>
    <rPh sb="25" eb="26">
      <t>キ</t>
    </rPh>
    <rPh sb="35" eb="36">
      <t>イ</t>
    </rPh>
    <rPh sb="37" eb="39">
      <t>シンプ</t>
    </rPh>
    <rPh sb="40" eb="42">
      <t>ショウカイ</t>
    </rPh>
    <phoneticPr fontId="4"/>
  </si>
  <si>
    <t>押田良太</t>
    <rPh sb="0" eb="2">
      <t>オシダ</t>
    </rPh>
    <rPh sb="2" eb="4">
      <t>リョウタ</t>
    </rPh>
    <phoneticPr fontId="4"/>
  </si>
  <si>
    <t>グローブも2/12に行く予定　雰囲気と予算重視　1/29→2/5に変更(1/27TELにて)</t>
    <rPh sb="10" eb="11">
      <t>イ</t>
    </rPh>
    <rPh sb="12" eb="14">
      <t>ヨテイ</t>
    </rPh>
    <rPh sb="15" eb="18">
      <t>フンイキ</t>
    </rPh>
    <rPh sb="19" eb="21">
      <t>ヨサン</t>
    </rPh>
    <rPh sb="21" eb="23">
      <t>ジュウシ</t>
    </rPh>
    <rPh sb="33" eb="35">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</si>
</sst>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yyyy&quot;年&quot;m&quot;月&quot;;@"/>
  </numFmts>
  <fonts count="18" x14ac:knownFonts="1">
    <font>
      <sz val="12"/>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name val="游ゴシック"/>
      <family val="2"/>
      <charset val="128"/>
      <scheme val="minor"/>
    </font>
    <font>
      <sz val="12"/>
      <name val="游ゴシック"/>
      <family val="3"/>
      <charset val="128"/>
      <scheme val="minor"/>
    </font>
    <font>
      <b/>
      <sz val="36"/>
      <color theme="1"/>
      <name val="游ゴシック"/>
      <family val="3"/>
      <charset val="128"/>
      <scheme val="minor"/>
    </font>
    <font>
      <b/>
      <sz val="36"/>
      <color rgb="FFFF0000"/>
      <name val="游ゴシック"/>
      <family val="3"/>
      <charset val="128"/>
      <scheme val="minor"/>
    </font>
    <font>
      <b/>
      <sz val="24"/>
      <color rgb="FFFF0000"/>
      <name val="游ゴシック"/>
      <family val="3"/>
      <charset val="128"/>
      <scheme val="minor"/>
    </font>
    <font>
      <sz val="12"/>
      <color rgb="FFFF0000"/>
      <name val="游ゴシック"/>
      <family val="2"/>
      <charset val="128"/>
      <scheme val="minor"/>
    </font>
    <font>
      <b/>
      <sz val="14"/>
      <color rgb="FFFF0000"/>
      <name val="游ゴシック"/>
      <family val="3"/>
      <charset val="128"/>
      <scheme val="minor"/>
    </font>
    <font>
      <sz val="12"/>
      <color rgb="FF000000"/>
      <name val="游ゴシック"/>
      <family val="3"/>
      <charset val="128"/>
      <scheme val="minor"/>
    </font>
    <font>
      <sz val="14"/>
      <name val="游ゴシック"/>
      <family val="3"/>
      <charset val="128"/>
      <scheme val="minor"/>
    </font>
    <font>
      <b/>
      <sz val="12"/>
      <color rgb="FFFF0000"/>
      <name val="游ゴシック"/>
      <family val="3"/>
      <charset val="128"/>
      <scheme val="minor"/>
    </font>
    <font>
      <sz val="11"/>
      <color theme="1"/>
      <name val="游ゴシック"/>
      <family val="3"/>
      <charset val="128"/>
      <scheme val="minor"/>
    </font>
    <font>
      <b/>
      <sz val="18"/>
      <color rgb="FFFF0000"/>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78">
    <xf numFmtId="0" fontId="0" fillId="0" borderId="0" xfId="0">
      <alignment vertical="center"/>
    </xf>
    <xf numFmtId="0" fontId="0" fillId="0" borderId="0" xfId="0" applyAlignment="1">
      <alignment horizontal="right" vertical="center"/>
    </xf>
    <xf numFmtId="0" fontId="0" fillId="0" borderId="1" xfId="0" applyBorder="1" applyAlignment="1">
      <alignment horizontal="right" vertical="center"/>
    </xf>
    <xf numFmtId="176" fontId="0" fillId="0" borderId="0" xfId="1" applyNumberFormat="1" applyFont="1" applyBorder="1" applyAlignment="1">
      <alignment horizontal="right" vertical="center"/>
    </xf>
    <xf numFmtId="0" fontId="5" fillId="0" borderId="0" xfId="0" applyFont="1">
      <alignment vertical="center"/>
    </xf>
    <xf numFmtId="0" fontId="6" fillId="0" borderId="0" xfId="0" applyFont="1">
      <alignment vertical="center"/>
    </xf>
    <xf numFmtId="0" fontId="0" fillId="0" borderId="1" xfId="0" applyBorder="1">
      <alignment vertical="center"/>
    </xf>
    <xf numFmtId="0" fontId="0" fillId="2" borderId="1" xfId="0" applyFill="1" applyBorder="1">
      <alignment vertical="center"/>
    </xf>
    <xf numFmtId="14" fontId="0" fillId="0" borderId="1" xfId="0" applyNumberFormat="1" applyBorder="1">
      <alignment vertical="center"/>
    </xf>
    <xf numFmtId="0" fontId="0" fillId="2" borderId="1" xfId="0" applyFill="1" applyBorder="1" applyAlignment="1">
      <alignment horizontal="left" vertical="center"/>
    </xf>
    <xf numFmtId="55" fontId="0" fillId="0" borderId="1" xfId="0" applyNumberFormat="1" applyBorder="1">
      <alignment vertical="center"/>
    </xf>
    <xf numFmtId="0" fontId="0" fillId="0" borderId="0" xfId="0" applyAlignment="1">
      <alignment horizontal="left" vertical="center"/>
    </xf>
    <xf numFmtId="0" fontId="0" fillId="3" borderId="1" xfId="0" applyFill="1" applyBorder="1">
      <alignment vertical="center"/>
    </xf>
    <xf numFmtId="9" fontId="0" fillId="0" borderId="1" xfId="1" applyFont="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0" fontId="0" fillId="0" borderId="1" xfId="0" applyBorder="1" applyAlignment="1">
      <alignment horizontal="center" vertical="center"/>
    </xf>
    <xf numFmtId="177" fontId="0" fillId="0" borderId="1" xfId="0" applyNumberFormat="1" applyBorder="1">
      <alignment vertical="center"/>
    </xf>
    <xf numFmtId="0" fontId="0" fillId="0" borderId="6" xfId="0" applyBorder="1" applyAlignment="1">
      <alignment horizontal="right"/>
    </xf>
    <xf numFmtId="0" fontId="8" fillId="0" borderId="5" xfId="0" applyFont="1" applyBorder="1">
      <alignment vertical="center"/>
    </xf>
    <xf numFmtId="0" fontId="9" fillId="0" borderId="5" xfId="0" applyFont="1" applyBorder="1">
      <alignment vertical="center"/>
    </xf>
    <xf numFmtId="0" fontId="8" fillId="3" borderId="5" xfId="0" applyFont="1" applyFill="1" applyBorder="1">
      <alignment vertical="center"/>
    </xf>
    <xf numFmtId="0" fontId="10" fillId="0" borderId="1" xfId="0" applyFont="1" applyBorder="1">
      <alignment vertical="center"/>
    </xf>
    <xf numFmtId="9" fontId="10" fillId="0" borderId="1" xfId="1" applyFont="1" applyBorder="1">
      <alignment vertical="center"/>
    </xf>
    <xf numFmtId="0" fontId="11" fillId="0" borderId="0" xfId="0" applyFont="1">
      <alignment vertical="center"/>
    </xf>
    <xf numFmtId="10" fontId="0" fillId="0" borderId="1" xfId="1" applyNumberFormat="1" applyFont="1" applyBorder="1">
      <alignment vertical="center"/>
    </xf>
    <xf numFmtId="10" fontId="0" fillId="0" borderId="1" xfId="1" applyNumberFormat="1" applyFont="1" applyFill="1" applyBorder="1">
      <alignment vertical="center"/>
    </xf>
    <xf numFmtId="0" fontId="0" fillId="0" borderId="1" xfId="1" applyNumberFormat="1" applyFont="1" applyBorder="1">
      <alignment vertical="center"/>
    </xf>
    <xf numFmtId="38" fontId="0" fillId="3" borderId="1" xfId="2" applyFont="1" applyFill="1" applyBorder="1">
      <alignment vertical="center"/>
    </xf>
    <xf numFmtId="38" fontId="0" fillId="0" borderId="1" xfId="2" applyFont="1" applyBorder="1">
      <alignment vertical="center"/>
    </xf>
    <xf numFmtId="38" fontId="12" fillId="3" borderId="1" xfId="2" applyFont="1" applyFill="1" applyBorder="1">
      <alignment vertical="center"/>
    </xf>
    <xf numFmtId="38" fontId="12" fillId="0" borderId="1" xfId="2" applyFont="1" applyBorder="1">
      <alignment vertical="center"/>
    </xf>
    <xf numFmtId="38" fontId="0" fillId="0" borderId="1" xfId="2" applyFont="1" applyFill="1" applyBorder="1">
      <alignment vertical="center"/>
    </xf>
    <xf numFmtId="9" fontId="0" fillId="0" borderId="1" xfId="0" applyNumberFormat="1" applyBorder="1">
      <alignment vertical="center"/>
    </xf>
    <xf numFmtId="9" fontId="13" fillId="0" borderId="1" xfId="0" applyNumberFormat="1" applyFont="1" applyBorder="1">
      <alignment vertical="center"/>
    </xf>
    <xf numFmtId="9" fontId="0" fillId="0" borderId="1" xfId="1" applyFont="1" applyBorder="1" applyAlignment="1">
      <alignment horizontal="right" vertical="center"/>
    </xf>
    <xf numFmtId="178" fontId="0" fillId="0" borderId="1" xfId="0" applyNumberFormat="1" applyBorder="1">
      <alignment vertical="center"/>
    </xf>
    <xf numFmtId="55" fontId="0" fillId="0" borderId="0" xfId="0" applyNumberFormat="1">
      <alignment vertical="center"/>
    </xf>
    <xf numFmtId="0" fontId="0" fillId="4" borderId="0" xfId="0" applyFill="1">
      <alignment vertical="center"/>
    </xf>
    <xf numFmtId="0" fontId="2" fillId="0" borderId="1" xfId="0" applyFont="1" applyBorder="1">
      <alignment vertical="center"/>
    </xf>
    <xf numFmtId="0" fontId="0" fillId="0" borderId="10" xfId="0" applyBorder="1">
      <alignment vertical="center"/>
    </xf>
    <xf numFmtId="0" fontId="0" fillId="0" borderId="9" xfId="0" applyBorder="1">
      <alignment vertical="center"/>
    </xf>
    <xf numFmtId="0" fontId="0" fillId="0" borderId="12" xfId="0" applyBorder="1">
      <alignment vertical="center"/>
    </xf>
    <xf numFmtId="0" fontId="0" fillId="0" borderId="11" xfId="0" applyBorder="1">
      <alignment vertical="center"/>
    </xf>
    <xf numFmtId="14" fontId="0" fillId="0" borderId="10" xfId="0" applyNumberFormat="1" applyBorder="1">
      <alignment vertical="center"/>
    </xf>
    <xf numFmtId="14" fontId="0" fillId="0" borderId="9" xfId="0" applyNumberFormat="1" applyBorder="1">
      <alignment vertical="center"/>
    </xf>
    <xf numFmtId="14" fontId="0" fillId="0" borderId="12" xfId="0" applyNumberFormat="1" applyBorder="1">
      <alignment vertical="center"/>
    </xf>
    <xf numFmtId="14" fontId="0" fillId="0" borderId="11" xfId="0" applyNumberFormat="1" applyBorder="1">
      <alignment vertical="center"/>
    </xf>
    <xf numFmtId="178" fontId="0" fillId="0" borderId="12" xfId="0" applyNumberFormat="1" applyBorder="1">
      <alignment vertical="center"/>
    </xf>
    <xf numFmtId="178" fontId="0" fillId="0" borderId="11" xfId="0" applyNumberFormat="1" applyBorder="1">
      <alignment vertical="center"/>
    </xf>
    <xf numFmtId="0" fontId="0" fillId="0" borderId="13" xfId="0" applyBorder="1">
      <alignment vertical="center"/>
    </xf>
    <xf numFmtId="14" fontId="0" fillId="0" borderId="13" xfId="0" applyNumberFormat="1" applyBorder="1">
      <alignment vertical="center"/>
    </xf>
    <xf numFmtId="178" fontId="0" fillId="0" borderId="13" xfId="0" applyNumberFormat="1" applyBorder="1">
      <alignment vertical="center"/>
    </xf>
    <xf numFmtId="178" fontId="0" fillId="5" borderId="1" xfId="0" applyNumberFormat="1" applyFill="1" applyBorder="1">
      <alignment vertical="center"/>
    </xf>
    <xf numFmtId="10" fontId="14" fillId="0" borderId="1" xfId="1" applyNumberFormat="1" applyFont="1" applyBorder="1">
      <alignment vertical="center"/>
    </xf>
    <xf numFmtId="38" fontId="15" fillId="3" borderId="1" xfId="2" applyFont="1" applyFill="1" applyBorder="1">
      <alignment vertical="center"/>
    </xf>
    <xf numFmtId="38" fontId="15" fillId="0" borderId="1" xfId="2" applyFont="1" applyBorder="1">
      <alignment vertical="center"/>
    </xf>
    <xf numFmtId="14" fontId="1" fillId="0" borderId="1" xfId="0" applyNumberFormat="1" applyFont="1" applyBorder="1">
      <alignment vertical="center"/>
    </xf>
    <xf numFmtId="14" fontId="16" fillId="0" borderId="1" xfId="0" applyNumberFormat="1" applyFont="1" applyBorder="1">
      <alignment vertical="center"/>
    </xf>
    <xf numFmtId="9" fontId="17" fillId="0" borderId="1" xfId="1" applyFont="1" applyBorder="1">
      <alignment vertical="center"/>
    </xf>
    <xf numFmtId="0" fontId="0" fillId="6" borderId="1" xfId="0" applyFill="1" applyBorder="1">
      <alignment vertical="center"/>
    </xf>
    <xf numFmtId="14" fontId="0" fillId="6" borderId="1" xfId="0" applyNumberFormat="1" applyFill="1" applyBorder="1">
      <alignment vertical="center"/>
    </xf>
    <xf numFmtId="178" fontId="0" fillId="6" borderId="1" xfId="0" applyNumberFormat="1" applyFill="1" applyBorder="1">
      <alignment vertical="center"/>
    </xf>
    <xf numFmtId="56" fontId="0" fillId="6" borderId="1" xfId="0" applyNumberFormat="1" applyFill="1" applyBorder="1">
      <alignment vertical="center"/>
    </xf>
    <xf numFmtId="14" fontId="0" fillId="7" borderId="1" xfId="0" applyNumberFormat="1" applyFill="1" applyBorder="1">
      <alignment vertical="center"/>
    </xf>
    <xf numFmtId="0" fontId="0" fillId="7" borderId="1" xfId="0" applyFill="1" applyBorder="1">
      <alignment vertical="center"/>
    </xf>
    <xf numFmtId="178" fontId="0" fillId="7" borderId="1" xfId="0" applyNumberFormat="1" applyFill="1" applyBorder="1">
      <alignment vertical="center"/>
    </xf>
    <xf numFmtId="0" fontId="0" fillId="8" borderId="1" xfId="0" applyFill="1" applyBorder="1">
      <alignment vertical="center"/>
    </xf>
    <xf numFmtId="14" fontId="0" fillId="8" borderId="1" xfId="0" applyNumberFormat="1" applyFill="1" applyBorder="1">
      <alignment vertical="center"/>
    </xf>
    <xf numFmtId="178" fontId="0" fillId="8" borderId="1" xfId="0" applyNumberFormat="1" applyFill="1" applyBorder="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0" borderId="0" xfId="0" applyAlignment="1">
      <alignment horizontal="center" vertical="center"/>
    </xf>
  </cellXfs>
  <cellStyles count="3">
    <cellStyle name="パーセント" xfId="1" builtinId="5"/>
    <cellStyle name="桁区切り" xfId="2" builtinId="6"/>
    <cellStyle name="標準"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tint="-0.24994659260841701"/>
        </patternFill>
      </fill>
    </dxf>
    <dxf>
      <fill>
        <patternFill>
          <bgColor theme="2" tint="-0.24994659260841701"/>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O232"/>
  <sheetViews>
    <sheetView tabSelected="1" zoomScale="93" zoomScaleNormal="167" workbookViewId="0">
      <pane xSplit="2" ySplit="3" topLeftCell="C193" activePane="bottomRight" state="frozen"/>
      <selection pane="topRight" activeCell="C1" sqref="C1"/>
      <selection pane="bottomLeft" activeCell="A4" sqref="A4"/>
      <selection pane="bottomRight" activeCell="D199" sqref="D199"/>
    </sheetView>
  </sheetViews>
  <sheetFormatPr defaultColWidth="10.54296875" defaultRowHeight="19.8" outlineLevelCol="1" x14ac:dyDescent="0.5"/>
  <cols>
    <col min="1" max="1" width="3.54296875" customWidth="1"/>
    <col min="2" max="2" width="4.54296875" bestFit="1" customWidth="1"/>
    <col min="3" max="3" width="13.1796875" bestFit="1" customWidth="1"/>
    <col min="4" max="4" width="16" bestFit="1" customWidth="1"/>
    <col min="5" max="5" width="10" bestFit="1" customWidth="1"/>
    <col min="6" max="6" width="11.36328125" bestFit="1" customWidth="1"/>
    <col min="7" max="7" width="12" bestFit="1" customWidth="1"/>
    <col min="8" max="8" width="11.54296875" bestFit="1" customWidth="1"/>
    <col min="9" max="9" width="13.81640625" bestFit="1" customWidth="1"/>
    <col min="10" max="10" width="13.1796875" bestFit="1" customWidth="1"/>
    <col min="11" max="11" width="13.1796875" customWidth="1" outlineLevel="1"/>
    <col min="12" max="12" width="11.54296875" customWidth="1" outlineLevel="1"/>
    <col min="13" max="13" width="10.453125" customWidth="1" outlineLevel="1"/>
    <col min="14" max="14" width="8.453125" customWidth="1" outlineLevel="1"/>
    <col min="15" max="15" width="12" customWidth="1" outlineLevel="1"/>
    <col min="16" max="16" width="8.453125" customWidth="1" outlineLevel="1"/>
    <col min="17" max="17" width="11.54296875" customWidth="1" outlineLevel="1"/>
    <col min="18" max="18" width="9.453125" customWidth="1" outlineLevel="1"/>
    <col min="19" max="19" width="12" customWidth="1" outlineLevel="1"/>
    <col min="20" max="20" width="11.54296875" customWidth="1" outlineLevel="1"/>
    <col min="21" max="21" width="19.54296875" customWidth="1"/>
    <col min="22" max="22" width="19.54296875" customWidth="1" outlineLevel="1"/>
    <col min="23" max="23" width="50.54296875" customWidth="1"/>
    <col min="37" max="37" width="11.1796875" bestFit="1" customWidth="1"/>
  </cols>
  <sheetData>
    <row r="2" spans="2:37" x14ac:dyDescent="0.5">
      <c r="B2" s="7"/>
      <c r="C2" s="71"/>
      <c r="D2" s="72"/>
      <c r="E2" s="73"/>
      <c r="F2" s="70" t="s">
        <v>62</v>
      </c>
      <c r="G2" s="70"/>
      <c r="H2" s="70"/>
      <c r="I2" s="70"/>
      <c r="J2" s="70" t="s">
        <v>0</v>
      </c>
      <c r="K2" s="70"/>
      <c r="L2" s="70"/>
      <c r="M2" s="70"/>
      <c r="N2" s="70"/>
      <c r="O2" s="70"/>
      <c r="P2" s="70"/>
      <c r="Q2" s="70"/>
      <c r="R2" s="70"/>
      <c r="S2" s="70"/>
      <c r="T2" s="70"/>
      <c r="U2" s="70"/>
      <c r="V2" s="70"/>
      <c r="W2" s="7"/>
    </row>
    <row r="3" spans="2:37" x14ac:dyDescent="0.5">
      <c r="B3" s="9" t="s">
        <v>1</v>
      </c>
      <c r="C3" s="9" t="s">
        <v>423</v>
      </c>
      <c r="D3" s="9" t="s">
        <v>60</v>
      </c>
      <c r="E3" s="9" t="s">
        <v>63</v>
      </c>
      <c r="F3" s="9" t="s">
        <v>2</v>
      </c>
      <c r="G3" s="9" t="s">
        <v>4</v>
      </c>
      <c r="H3" s="9" t="s">
        <v>3</v>
      </c>
      <c r="I3" s="9" t="s">
        <v>53</v>
      </c>
      <c r="J3" s="9" t="s">
        <v>29</v>
      </c>
      <c r="K3" s="9" t="s">
        <v>230</v>
      </c>
      <c r="L3" s="9" t="s">
        <v>229</v>
      </c>
      <c r="M3" s="9" t="s">
        <v>299</v>
      </c>
      <c r="N3" s="9" t="s">
        <v>95</v>
      </c>
      <c r="O3" s="9" t="s">
        <v>54</v>
      </c>
      <c r="P3" s="9" t="s">
        <v>95</v>
      </c>
      <c r="Q3" s="9" t="s">
        <v>59</v>
      </c>
      <c r="R3" s="9" t="s">
        <v>104</v>
      </c>
      <c r="S3" s="9" t="s">
        <v>55</v>
      </c>
      <c r="T3" s="9" t="s">
        <v>153</v>
      </c>
      <c r="U3" s="9" t="s">
        <v>56</v>
      </c>
      <c r="V3" s="9" t="s">
        <v>57</v>
      </c>
      <c r="W3" s="9" t="s">
        <v>58</v>
      </c>
      <c r="Z3" s="11" t="s">
        <v>60</v>
      </c>
      <c r="AA3" s="11" t="s">
        <v>69</v>
      </c>
      <c r="AB3" s="11" t="s">
        <v>4</v>
      </c>
      <c r="AC3" s="11" t="s">
        <v>3</v>
      </c>
      <c r="AD3" s="11" t="s">
        <v>64</v>
      </c>
      <c r="AE3" s="11" t="s">
        <v>59</v>
      </c>
      <c r="AF3" s="11" t="s">
        <v>104</v>
      </c>
      <c r="AG3" s="11" t="s">
        <v>55</v>
      </c>
      <c r="AH3" s="11" t="s">
        <v>153</v>
      </c>
      <c r="AI3" s="11" t="s">
        <v>92</v>
      </c>
      <c r="AJ3" s="11" t="s">
        <v>95</v>
      </c>
      <c r="AK3" s="11" t="s">
        <v>606</v>
      </c>
    </row>
    <row r="4" spans="2:37" x14ac:dyDescent="0.5">
      <c r="B4" s="6">
        <v>1</v>
      </c>
      <c r="C4" s="8"/>
      <c r="D4" s="6" t="s">
        <v>68</v>
      </c>
      <c r="E4" s="6"/>
      <c r="F4" s="8"/>
      <c r="G4" s="6"/>
      <c r="H4" s="6"/>
      <c r="I4" s="6"/>
      <c r="J4" s="8"/>
      <c r="K4" s="10">
        <v>44621</v>
      </c>
      <c r="L4" s="8">
        <v>44647</v>
      </c>
      <c r="M4" s="6" t="s">
        <v>167</v>
      </c>
      <c r="N4" s="6"/>
      <c r="O4" s="6" t="s">
        <v>168</v>
      </c>
      <c r="P4" s="6"/>
      <c r="Q4" s="6"/>
      <c r="R4" s="6"/>
      <c r="S4" s="6" t="s">
        <v>166</v>
      </c>
      <c r="T4" s="6"/>
      <c r="U4" s="6"/>
      <c r="V4" s="6"/>
      <c r="W4" s="6"/>
      <c r="Z4" t="s">
        <v>68</v>
      </c>
      <c r="AA4" t="s">
        <v>52</v>
      </c>
      <c r="AB4" t="s">
        <v>61</v>
      </c>
      <c r="AC4" t="s">
        <v>64</v>
      </c>
      <c r="AD4" t="s">
        <v>254</v>
      </c>
      <c r="AE4" t="s">
        <v>80</v>
      </c>
      <c r="AF4" t="s">
        <v>105</v>
      </c>
      <c r="AG4" t="s">
        <v>91</v>
      </c>
      <c r="AH4" t="s">
        <v>154</v>
      </c>
      <c r="AI4" t="s">
        <v>133</v>
      </c>
      <c r="AJ4" t="s">
        <v>96</v>
      </c>
      <c r="AK4" s="37" t="s">
        <v>742</v>
      </c>
    </row>
    <row r="5" spans="2:37" x14ac:dyDescent="0.5">
      <c r="B5" s="6">
        <v>2</v>
      </c>
      <c r="C5" s="8"/>
      <c r="D5" s="6" t="s">
        <v>68</v>
      </c>
      <c r="E5" s="6"/>
      <c r="F5" s="8"/>
      <c r="G5" s="6"/>
      <c r="H5" s="6"/>
      <c r="I5" s="6"/>
      <c r="J5" s="8"/>
      <c r="K5" s="10">
        <v>44652</v>
      </c>
      <c r="L5" s="8">
        <v>44681</v>
      </c>
      <c r="M5" s="6" t="s">
        <v>170</v>
      </c>
      <c r="N5" s="6"/>
      <c r="O5" s="6" t="s">
        <v>171</v>
      </c>
      <c r="P5" s="6"/>
      <c r="Q5" s="6"/>
      <c r="R5" s="6"/>
      <c r="S5" s="6" t="s">
        <v>169</v>
      </c>
      <c r="T5" s="6"/>
      <c r="U5" s="6"/>
      <c r="V5" s="6"/>
      <c r="W5" s="6"/>
      <c r="Z5" t="s">
        <v>66</v>
      </c>
      <c r="AA5" t="s">
        <v>70</v>
      </c>
      <c r="AB5" t="s">
        <v>72</v>
      </c>
      <c r="AC5" t="s">
        <v>65</v>
      </c>
      <c r="AD5" t="s">
        <v>336</v>
      </c>
      <c r="AE5" t="s">
        <v>81</v>
      </c>
      <c r="AF5" t="s">
        <v>106</v>
      </c>
      <c r="AG5" t="s">
        <v>42</v>
      </c>
      <c r="AH5" t="s">
        <v>155</v>
      </c>
      <c r="AI5" t="s">
        <v>134</v>
      </c>
      <c r="AJ5" t="s">
        <v>97</v>
      </c>
      <c r="AK5" s="37">
        <v>44958</v>
      </c>
    </row>
    <row r="6" spans="2:37" x14ac:dyDescent="0.5">
      <c r="B6" s="6">
        <v>3</v>
      </c>
      <c r="C6" s="8"/>
      <c r="D6" s="6" t="s">
        <v>68</v>
      </c>
      <c r="E6" s="6"/>
      <c r="F6" s="8"/>
      <c r="G6" s="6"/>
      <c r="H6" s="6"/>
      <c r="I6" s="6"/>
      <c r="J6" s="8"/>
      <c r="K6" s="10">
        <v>44682</v>
      </c>
      <c r="L6" s="8">
        <v>44695</v>
      </c>
      <c r="M6" s="6" t="s">
        <v>172</v>
      </c>
      <c r="N6" s="6"/>
      <c r="O6" s="6" t="s">
        <v>173</v>
      </c>
      <c r="P6" s="6"/>
      <c r="Q6" s="6"/>
      <c r="R6" s="6"/>
      <c r="S6" s="6" t="s">
        <v>166</v>
      </c>
      <c r="T6" s="6"/>
      <c r="U6" s="6"/>
      <c r="V6" s="6"/>
      <c r="W6" s="6"/>
      <c r="Z6" t="s">
        <v>67</v>
      </c>
      <c r="AA6" t="s">
        <v>71</v>
      </c>
      <c r="AB6" t="s">
        <v>73</v>
      </c>
      <c r="AC6" t="s">
        <v>77</v>
      </c>
      <c r="AD6" t="s">
        <v>337</v>
      </c>
      <c r="AE6" t="s">
        <v>82</v>
      </c>
      <c r="AF6" t="s">
        <v>107</v>
      </c>
      <c r="AG6" t="s">
        <v>152</v>
      </c>
      <c r="AH6" t="s">
        <v>156</v>
      </c>
      <c r="AI6" t="s">
        <v>135</v>
      </c>
      <c r="AJ6" t="s">
        <v>98</v>
      </c>
      <c r="AK6" s="37">
        <v>44986</v>
      </c>
    </row>
    <row r="7" spans="2:37" x14ac:dyDescent="0.5">
      <c r="B7" s="6">
        <v>4</v>
      </c>
      <c r="C7" s="8"/>
      <c r="D7" s="6" t="s">
        <v>68</v>
      </c>
      <c r="E7" s="6"/>
      <c r="F7" s="8"/>
      <c r="G7" s="6"/>
      <c r="H7" s="6"/>
      <c r="I7" s="6"/>
      <c r="J7" s="8"/>
      <c r="K7" s="10">
        <v>44682</v>
      </c>
      <c r="L7" s="8">
        <v>44695</v>
      </c>
      <c r="M7" s="6" t="s">
        <v>175</v>
      </c>
      <c r="N7" s="6"/>
      <c r="O7" s="6" t="s">
        <v>174</v>
      </c>
      <c r="P7" s="6"/>
      <c r="Q7" s="6"/>
      <c r="R7" s="6"/>
      <c r="S7" s="6" t="s">
        <v>149</v>
      </c>
      <c r="T7" s="6"/>
      <c r="U7" s="6"/>
      <c r="V7" s="6"/>
      <c r="W7" s="6"/>
      <c r="Z7" t="s">
        <v>118</v>
      </c>
      <c r="AA7" t="s">
        <v>123</v>
      </c>
      <c r="AB7" t="s">
        <v>74</v>
      </c>
      <c r="AD7" t="s">
        <v>124</v>
      </c>
      <c r="AE7" t="s">
        <v>83</v>
      </c>
      <c r="AF7" t="s">
        <v>108</v>
      </c>
      <c r="AG7" t="s">
        <v>149</v>
      </c>
      <c r="AH7" t="s">
        <v>157</v>
      </c>
      <c r="AI7" t="s">
        <v>136</v>
      </c>
      <c r="AJ7" t="s">
        <v>99</v>
      </c>
      <c r="AK7" s="37">
        <v>45017</v>
      </c>
    </row>
    <row r="8" spans="2:37" x14ac:dyDescent="0.5">
      <c r="B8" s="6">
        <v>5</v>
      </c>
      <c r="C8" s="8"/>
      <c r="D8" s="6" t="s">
        <v>68</v>
      </c>
      <c r="E8" s="6"/>
      <c r="F8" s="8"/>
      <c r="G8" s="6"/>
      <c r="H8" s="6"/>
      <c r="I8" s="6"/>
      <c r="J8" s="8"/>
      <c r="K8" s="10">
        <v>44682</v>
      </c>
      <c r="L8" s="8"/>
      <c r="M8" s="6" t="s">
        <v>176</v>
      </c>
      <c r="N8" s="6"/>
      <c r="O8" s="6" t="s">
        <v>177</v>
      </c>
      <c r="P8" s="6"/>
      <c r="Q8" s="6"/>
      <c r="R8" s="6"/>
      <c r="S8" s="6" t="s">
        <v>169</v>
      </c>
      <c r="T8" s="6"/>
      <c r="U8" s="6"/>
      <c r="V8" s="6"/>
      <c r="W8" s="6"/>
      <c r="Z8" t="s">
        <v>119</v>
      </c>
      <c r="AB8" t="s">
        <v>5</v>
      </c>
      <c r="AD8" t="s">
        <v>339</v>
      </c>
      <c r="AE8" t="s">
        <v>84</v>
      </c>
      <c r="AF8" t="s">
        <v>109</v>
      </c>
      <c r="AG8" t="s">
        <v>150</v>
      </c>
      <c r="AI8" t="s">
        <v>137</v>
      </c>
      <c r="AJ8" t="s">
        <v>100</v>
      </c>
      <c r="AK8" s="37">
        <v>45047</v>
      </c>
    </row>
    <row r="9" spans="2:37" x14ac:dyDescent="0.5">
      <c r="B9" s="6">
        <v>6</v>
      </c>
      <c r="C9" s="8"/>
      <c r="D9" s="6" t="s">
        <v>68</v>
      </c>
      <c r="E9" s="6"/>
      <c r="F9" s="8"/>
      <c r="G9" s="6"/>
      <c r="H9" s="6"/>
      <c r="I9" s="6"/>
      <c r="J9" s="8"/>
      <c r="K9" s="10">
        <v>44682</v>
      </c>
      <c r="L9" s="8"/>
      <c r="M9" s="6" t="s">
        <v>178</v>
      </c>
      <c r="N9" s="6"/>
      <c r="O9" s="6" t="s">
        <v>179</v>
      </c>
      <c r="P9" s="6"/>
      <c r="Q9" s="6"/>
      <c r="R9" s="6"/>
      <c r="S9" s="6" t="s">
        <v>169</v>
      </c>
      <c r="T9" s="6"/>
      <c r="U9" s="6"/>
      <c r="V9" s="6"/>
      <c r="W9" s="6"/>
      <c r="Z9" t="s">
        <v>121</v>
      </c>
      <c r="AB9" t="s">
        <v>6</v>
      </c>
      <c r="AD9" t="s">
        <v>79</v>
      </c>
      <c r="AE9" t="s">
        <v>85</v>
      </c>
      <c r="AF9" t="s">
        <v>110</v>
      </c>
      <c r="AI9" t="s">
        <v>138</v>
      </c>
      <c r="AJ9" t="s">
        <v>101</v>
      </c>
      <c r="AK9" s="37">
        <v>45078</v>
      </c>
    </row>
    <row r="10" spans="2:37" x14ac:dyDescent="0.5">
      <c r="B10" s="6">
        <v>7</v>
      </c>
      <c r="C10" s="8"/>
      <c r="D10" s="6" t="s">
        <v>68</v>
      </c>
      <c r="E10" s="6"/>
      <c r="F10" s="8"/>
      <c r="G10" s="6"/>
      <c r="H10" s="6"/>
      <c r="I10" s="6"/>
      <c r="J10" s="8"/>
      <c r="K10" s="10">
        <v>44682</v>
      </c>
      <c r="L10" s="8"/>
      <c r="M10" s="6" t="s">
        <v>181</v>
      </c>
      <c r="N10" s="6"/>
      <c r="O10" s="6" t="s">
        <v>180</v>
      </c>
      <c r="P10" s="6"/>
      <c r="Q10" s="6"/>
      <c r="R10" s="6"/>
      <c r="S10" s="6" t="s">
        <v>166</v>
      </c>
      <c r="T10" s="6"/>
      <c r="U10" s="6"/>
      <c r="V10" s="6"/>
      <c r="W10" s="6"/>
      <c r="Z10" t="s">
        <v>120</v>
      </c>
      <c r="AB10" t="s">
        <v>75</v>
      </c>
      <c r="AE10" t="s">
        <v>86</v>
      </c>
      <c r="AF10" t="s">
        <v>111</v>
      </c>
      <c r="AI10" t="s">
        <v>139</v>
      </c>
      <c r="AJ10" t="s">
        <v>102</v>
      </c>
      <c r="AK10" s="37">
        <v>45108</v>
      </c>
    </row>
    <row r="11" spans="2:37" x14ac:dyDescent="0.5">
      <c r="B11" s="6">
        <v>8</v>
      </c>
      <c r="C11" s="8"/>
      <c r="D11" s="6" t="s">
        <v>68</v>
      </c>
      <c r="E11" s="6"/>
      <c r="F11" s="8"/>
      <c r="G11" s="6"/>
      <c r="H11" s="6"/>
      <c r="I11" s="6"/>
      <c r="J11" s="8"/>
      <c r="K11" s="10">
        <v>44713</v>
      </c>
      <c r="L11" s="8"/>
      <c r="M11" s="6" t="s">
        <v>182</v>
      </c>
      <c r="N11" s="6"/>
      <c r="O11" s="6" t="s">
        <v>183</v>
      </c>
      <c r="P11" s="6"/>
      <c r="Q11" s="6"/>
      <c r="R11" s="6"/>
      <c r="S11" s="6" t="s">
        <v>169</v>
      </c>
      <c r="T11" s="6"/>
      <c r="U11" s="6"/>
      <c r="V11" s="6"/>
      <c r="W11" s="6"/>
      <c r="Z11" t="s">
        <v>122</v>
      </c>
      <c r="AB11" t="s">
        <v>76</v>
      </c>
      <c r="AE11" t="s">
        <v>87</v>
      </c>
      <c r="AF11" t="s">
        <v>112</v>
      </c>
      <c r="AI11" t="s">
        <v>140</v>
      </c>
      <c r="AJ11" t="s">
        <v>103</v>
      </c>
      <c r="AK11" s="37">
        <v>45139</v>
      </c>
    </row>
    <row r="12" spans="2:37" x14ac:dyDescent="0.5">
      <c r="B12" s="6">
        <v>9</v>
      </c>
      <c r="C12" s="8"/>
      <c r="D12" s="6" t="s">
        <v>68</v>
      </c>
      <c r="E12" s="6"/>
      <c r="F12" s="8"/>
      <c r="G12" s="6"/>
      <c r="H12" s="6"/>
      <c r="I12" s="6"/>
      <c r="J12" s="8"/>
      <c r="K12" s="36">
        <v>44713</v>
      </c>
      <c r="L12" s="8"/>
      <c r="M12" s="6" t="s">
        <v>185</v>
      </c>
      <c r="N12" s="6"/>
      <c r="O12" s="6" t="s">
        <v>184</v>
      </c>
      <c r="P12" s="6"/>
      <c r="Q12" s="6"/>
      <c r="R12" s="6"/>
      <c r="S12" s="6" t="s">
        <v>166</v>
      </c>
      <c r="T12" s="6"/>
      <c r="U12" s="6"/>
      <c r="V12" s="6"/>
      <c r="W12" s="6"/>
      <c r="Z12" t="s">
        <v>76</v>
      </c>
      <c r="AE12" t="s">
        <v>88</v>
      </c>
      <c r="AF12" t="s">
        <v>113</v>
      </c>
      <c r="AI12" t="s">
        <v>452</v>
      </c>
      <c r="AK12" s="37">
        <v>45170</v>
      </c>
    </row>
    <row r="13" spans="2:37" x14ac:dyDescent="0.5">
      <c r="B13" s="6">
        <v>10</v>
      </c>
      <c r="C13" s="8"/>
      <c r="D13" s="6" t="s">
        <v>68</v>
      </c>
      <c r="E13" s="6"/>
      <c r="F13" s="8"/>
      <c r="G13" s="6"/>
      <c r="H13" s="6"/>
      <c r="I13" s="6"/>
      <c r="J13" s="8"/>
      <c r="K13" s="36">
        <v>44713</v>
      </c>
      <c r="L13" s="8"/>
      <c r="M13" s="6" t="s">
        <v>186</v>
      </c>
      <c r="N13" s="6"/>
      <c r="O13" s="6" t="s">
        <v>187</v>
      </c>
      <c r="P13" s="6"/>
      <c r="Q13" s="6"/>
      <c r="R13" s="6"/>
      <c r="S13" s="6" t="s">
        <v>169</v>
      </c>
      <c r="T13" s="6"/>
      <c r="U13" s="6"/>
      <c r="V13" s="6"/>
      <c r="W13" s="6"/>
      <c r="AE13" t="s">
        <v>89</v>
      </c>
      <c r="AF13" t="s">
        <v>114</v>
      </c>
      <c r="AI13" t="s">
        <v>221</v>
      </c>
      <c r="AK13" s="37">
        <v>45200</v>
      </c>
    </row>
    <row r="14" spans="2:37" x14ac:dyDescent="0.5">
      <c r="B14" s="6">
        <v>11</v>
      </c>
      <c r="C14" s="8"/>
      <c r="D14" s="6" t="s">
        <v>68</v>
      </c>
      <c r="E14" s="6"/>
      <c r="F14" s="8"/>
      <c r="G14" s="6"/>
      <c r="H14" s="6"/>
      <c r="I14" s="6"/>
      <c r="J14" s="8"/>
      <c r="K14" s="36">
        <v>44713</v>
      </c>
      <c r="L14" s="8"/>
      <c r="M14" s="6" t="s">
        <v>189</v>
      </c>
      <c r="N14" s="6"/>
      <c r="O14" s="6" t="s">
        <v>188</v>
      </c>
      <c r="P14" s="6"/>
      <c r="Q14" s="6"/>
      <c r="R14" s="6"/>
      <c r="S14" s="6" t="s">
        <v>169</v>
      </c>
      <c r="T14" s="6"/>
      <c r="U14" s="6"/>
      <c r="V14" s="6"/>
      <c r="W14" s="6"/>
      <c r="AE14" t="s">
        <v>90</v>
      </c>
      <c r="AI14" t="s">
        <v>141</v>
      </c>
      <c r="AK14" s="37">
        <v>45231</v>
      </c>
    </row>
    <row r="15" spans="2:37" x14ac:dyDescent="0.5">
      <c r="B15" s="6">
        <v>12</v>
      </c>
      <c r="C15" s="8"/>
      <c r="D15" s="6" t="s">
        <v>68</v>
      </c>
      <c r="E15" s="6"/>
      <c r="F15" s="8"/>
      <c r="G15" s="6"/>
      <c r="H15" s="6"/>
      <c r="I15" s="6"/>
      <c r="J15" s="8"/>
      <c r="K15" s="36">
        <v>44713</v>
      </c>
      <c r="L15" s="8"/>
      <c r="M15" s="6" t="s">
        <v>190</v>
      </c>
      <c r="N15" s="6"/>
      <c r="O15" s="6" t="s">
        <v>191</v>
      </c>
      <c r="P15" s="6"/>
      <c r="Q15" s="6"/>
      <c r="R15" s="6"/>
      <c r="S15" s="6" t="s">
        <v>169</v>
      </c>
      <c r="T15" s="6"/>
      <c r="U15" s="6"/>
      <c r="V15" s="6"/>
      <c r="W15" s="6"/>
      <c r="AI15" t="s">
        <v>142</v>
      </c>
      <c r="AK15" s="37">
        <v>45261</v>
      </c>
    </row>
    <row r="16" spans="2:37" x14ac:dyDescent="0.5">
      <c r="B16" s="6">
        <v>13</v>
      </c>
      <c r="C16" s="8"/>
      <c r="D16" s="6" t="s">
        <v>68</v>
      </c>
      <c r="E16" s="6"/>
      <c r="F16" s="8"/>
      <c r="G16" s="6"/>
      <c r="H16" s="6"/>
      <c r="I16" s="6"/>
      <c r="J16" s="8"/>
      <c r="K16" s="36">
        <v>44743</v>
      </c>
      <c r="L16" s="8"/>
      <c r="M16" s="6" t="s">
        <v>192</v>
      </c>
      <c r="N16" s="6"/>
      <c r="O16" s="6" t="s">
        <v>193</v>
      </c>
      <c r="P16" s="6"/>
      <c r="Q16" s="6"/>
      <c r="R16" s="6"/>
      <c r="S16" s="6" t="s">
        <v>220</v>
      </c>
      <c r="T16" s="6"/>
      <c r="U16" s="6"/>
      <c r="V16" s="6"/>
      <c r="W16" s="6"/>
      <c r="AI16" t="s">
        <v>143</v>
      </c>
      <c r="AK16" s="37">
        <v>45292</v>
      </c>
    </row>
    <row r="17" spans="2:37" x14ac:dyDescent="0.5">
      <c r="B17" s="6">
        <v>14</v>
      </c>
      <c r="C17" s="8"/>
      <c r="D17" s="6" t="s">
        <v>68</v>
      </c>
      <c r="E17" s="6"/>
      <c r="F17" s="8"/>
      <c r="G17" s="6"/>
      <c r="H17" s="6"/>
      <c r="I17" s="6"/>
      <c r="J17" s="8"/>
      <c r="K17" s="36">
        <v>44743</v>
      </c>
      <c r="L17" s="8"/>
      <c r="M17" s="6" t="s">
        <v>195</v>
      </c>
      <c r="N17" s="6"/>
      <c r="O17" s="6" t="s">
        <v>194</v>
      </c>
      <c r="P17" s="6"/>
      <c r="Q17" s="6"/>
      <c r="R17" s="6"/>
      <c r="S17" s="6" t="s">
        <v>169</v>
      </c>
      <c r="T17" s="6"/>
      <c r="U17" s="6"/>
      <c r="V17" s="6"/>
      <c r="W17" s="6"/>
      <c r="AI17" t="s">
        <v>144</v>
      </c>
      <c r="AK17" s="37">
        <v>45323</v>
      </c>
    </row>
    <row r="18" spans="2:37" x14ac:dyDescent="0.5">
      <c r="B18" s="6">
        <v>15</v>
      </c>
      <c r="C18" s="8"/>
      <c r="D18" s="6" t="s">
        <v>68</v>
      </c>
      <c r="E18" s="6"/>
      <c r="F18" s="8"/>
      <c r="G18" s="6"/>
      <c r="H18" s="6"/>
      <c r="I18" s="6"/>
      <c r="J18" s="8"/>
      <c r="K18" s="36">
        <v>44835</v>
      </c>
      <c r="L18" s="8"/>
      <c r="M18" s="6" t="s">
        <v>196</v>
      </c>
      <c r="N18" s="6"/>
      <c r="O18" s="6" t="s">
        <v>197</v>
      </c>
      <c r="P18" s="6"/>
      <c r="Q18" s="6"/>
      <c r="R18" s="6"/>
      <c r="S18" s="6" t="s">
        <v>169</v>
      </c>
      <c r="T18" s="6"/>
      <c r="U18" s="6"/>
      <c r="V18" s="6"/>
      <c r="W18" s="6" t="s">
        <v>376</v>
      </c>
      <c r="AI18" t="s">
        <v>145</v>
      </c>
      <c r="AK18" s="37">
        <v>45352</v>
      </c>
    </row>
    <row r="19" spans="2:37" x14ac:dyDescent="0.5">
      <c r="B19" s="6">
        <v>16</v>
      </c>
      <c r="C19" s="8"/>
      <c r="D19" s="6" t="s">
        <v>68</v>
      </c>
      <c r="E19" s="6"/>
      <c r="F19" s="8"/>
      <c r="G19" s="6"/>
      <c r="H19" s="6"/>
      <c r="I19" s="6"/>
      <c r="J19" s="8"/>
      <c r="K19" s="36">
        <v>44743</v>
      </c>
      <c r="L19" s="8"/>
      <c r="M19" s="6" t="s">
        <v>199</v>
      </c>
      <c r="N19" s="6"/>
      <c r="O19" s="6" t="s">
        <v>198</v>
      </c>
      <c r="P19" s="6"/>
      <c r="Q19" s="6"/>
      <c r="R19" s="6"/>
      <c r="S19" s="6" t="s">
        <v>166</v>
      </c>
      <c r="T19" s="6"/>
      <c r="U19" s="6"/>
      <c r="V19" s="6"/>
      <c r="W19" s="6" t="s">
        <v>330</v>
      </c>
      <c r="AI19" t="s">
        <v>146</v>
      </c>
      <c r="AK19" s="37">
        <v>45383</v>
      </c>
    </row>
    <row r="20" spans="2:37" x14ac:dyDescent="0.5">
      <c r="B20" s="6">
        <v>17</v>
      </c>
      <c r="C20" s="8"/>
      <c r="D20" s="6" t="s">
        <v>68</v>
      </c>
      <c r="E20" s="6"/>
      <c r="F20" s="8"/>
      <c r="G20" s="6"/>
      <c r="H20" s="6"/>
      <c r="I20" s="6"/>
      <c r="J20" s="8"/>
      <c r="K20" s="36">
        <v>45200</v>
      </c>
      <c r="L20" s="8">
        <v>45213</v>
      </c>
      <c r="M20" s="6" t="s">
        <v>200</v>
      </c>
      <c r="N20" s="6"/>
      <c r="O20" s="6" t="s">
        <v>201</v>
      </c>
      <c r="P20" s="6"/>
      <c r="Q20" s="6"/>
      <c r="R20" s="6"/>
      <c r="S20" s="6" t="s">
        <v>169</v>
      </c>
      <c r="T20" s="6"/>
      <c r="U20" s="6"/>
      <c r="V20" s="6"/>
      <c r="W20" s="6" t="s">
        <v>552</v>
      </c>
      <c r="AI20" t="s">
        <v>147</v>
      </c>
      <c r="AK20" s="37">
        <v>45413</v>
      </c>
    </row>
    <row r="21" spans="2:37" x14ac:dyDescent="0.5">
      <c r="B21" s="6">
        <v>18</v>
      </c>
      <c r="C21" s="8"/>
      <c r="D21" s="6" t="s">
        <v>68</v>
      </c>
      <c r="E21" s="6"/>
      <c r="F21" s="8"/>
      <c r="G21" s="6"/>
      <c r="H21" s="6"/>
      <c r="I21" s="6"/>
      <c r="J21" s="8"/>
      <c r="K21" s="36">
        <v>44774</v>
      </c>
      <c r="L21" s="8"/>
      <c r="M21" s="6" t="s">
        <v>202</v>
      </c>
      <c r="N21" s="6"/>
      <c r="O21" s="6" t="s">
        <v>203</v>
      </c>
      <c r="P21" s="6"/>
      <c r="Q21" s="6"/>
      <c r="R21" s="6"/>
      <c r="S21" s="6" t="s">
        <v>166</v>
      </c>
      <c r="T21" s="6"/>
      <c r="U21" s="6"/>
      <c r="V21" s="6"/>
      <c r="W21" s="6"/>
      <c r="AI21" t="s">
        <v>467</v>
      </c>
      <c r="AK21" s="37">
        <v>45444</v>
      </c>
    </row>
    <row r="22" spans="2:37" x14ac:dyDescent="0.5">
      <c r="B22" s="6">
        <v>19</v>
      </c>
      <c r="C22" s="8"/>
      <c r="D22" s="6" t="s">
        <v>68</v>
      </c>
      <c r="E22" s="6"/>
      <c r="F22" s="8"/>
      <c r="G22" s="6"/>
      <c r="H22" s="6"/>
      <c r="I22" s="6"/>
      <c r="J22" s="8"/>
      <c r="K22" s="36">
        <v>44805</v>
      </c>
      <c r="L22" s="8"/>
      <c r="M22" s="6" t="s">
        <v>189</v>
      </c>
      <c r="N22" s="6"/>
      <c r="O22" s="6" t="s">
        <v>204</v>
      </c>
      <c r="P22" s="6"/>
      <c r="Q22" s="6"/>
      <c r="R22" s="6"/>
      <c r="S22" s="6" t="s">
        <v>169</v>
      </c>
      <c r="T22" s="6"/>
      <c r="U22" s="6"/>
      <c r="V22" s="6"/>
      <c r="W22" s="6"/>
      <c r="AI22" t="s">
        <v>76</v>
      </c>
      <c r="AK22" s="37">
        <v>45474</v>
      </c>
    </row>
    <row r="23" spans="2:37" x14ac:dyDescent="0.5">
      <c r="B23" s="6">
        <v>20</v>
      </c>
      <c r="C23" s="8"/>
      <c r="D23" s="6" t="s">
        <v>68</v>
      </c>
      <c r="E23" s="6"/>
      <c r="F23" s="8"/>
      <c r="G23" s="6"/>
      <c r="H23" s="6"/>
      <c r="I23" s="6"/>
      <c r="J23" s="8"/>
      <c r="K23" s="36">
        <v>44805</v>
      </c>
      <c r="L23" s="8"/>
      <c r="M23" s="6" t="s">
        <v>206</v>
      </c>
      <c r="N23" s="6"/>
      <c r="O23" s="6" t="s">
        <v>205</v>
      </c>
      <c r="P23" s="6"/>
      <c r="Q23" s="6"/>
      <c r="R23" s="6"/>
      <c r="S23" s="6" t="s">
        <v>169</v>
      </c>
      <c r="T23" s="6"/>
      <c r="U23" s="6"/>
      <c r="V23" s="6"/>
      <c r="W23" s="6"/>
      <c r="AI23" t="s">
        <v>148</v>
      </c>
      <c r="AK23" s="37">
        <v>45505</v>
      </c>
    </row>
    <row r="24" spans="2:37" x14ac:dyDescent="0.5">
      <c r="B24" s="6">
        <v>21</v>
      </c>
      <c r="C24" s="8"/>
      <c r="D24" s="6" t="s">
        <v>68</v>
      </c>
      <c r="E24" s="6"/>
      <c r="F24" s="8"/>
      <c r="G24" s="6"/>
      <c r="H24" s="6"/>
      <c r="I24" s="6"/>
      <c r="J24" s="8"/>
      <c r="K24" s="36">
        <v>44805</v>
      </c>
      <c r="L24" s="8"/>
      <c r="M24" s="6" t="s">
        <v>207</v>
      </c>
      <c r="N24" s="6"/>
      <c r="O24" s="6" t="s">
        <v>208</v>
      </c>
      <c r="P24" s="6"/>
      <c r="Q24" s="6"/>
      <c r="R24" s="6"/>
      <c r="S24" s="6" t="s">
        <v>169</v>
      </c>
      <c r="T24" s="6"/>
      <c r="U24" s="6"/>
      <c r="V24" s="6"/>
      <c r="W24" s="6"/>
      <c r="AK24" s="37">
        <v>45536</v>
      </c>
    </row>
    <row r="25" spans="2:37" x14ac:dyDescent="0.5">
      <c r="B25" s="6">
        <v>22</v>
      </c>
      <c r="C25" s="8"/>
      <c r="D25" s="6" t="s">
        <v>68</v>
      </c>
      <c r="E25" s="6"/>
      <c r="F25" s="8"/>
      <c r="G25" s="6"/>
      <c r="H25" s="6"/>
      <c r="I25" s="6"/>
      <c r="J25" s="8"/>
      <c r="K25" s="36">
        <v>44805</v>
      </c>
      <c r="L25" s="8"/>
      <c r="M25" s="6" t="s">
        <v>209</v>
      </c>
      <c r="N25" s="6"/>
      <c r="O25" s="6" t="s">
        <v>210</v>
      </c>
      <c r="P25" s="6"/>
      <c r="Q25" s="6"/>
      <c r="R25" s="6"/>
      <c r="S25" s="6" t="s">
        <v>169</v>
      </c>
      <c r="T25" s="6"/>
      <c r="U25" s="6"/>
      <c r="V25" s="6"/>
      <c r="W25" s="6"/>
      <c r="AK25" s="37">
        <v>45566</v>
      </c>
    </row>
    <row r="26" spans="2:37" x14ac:dyDescent="0.5">
      <c r="B26" s="6">
        <v>23</v>
      </c>
      <c r="C26" s="8"/>
      <c r="D26" s="6" t="s">
        <v>68</v>
      </c>
      <c r="E26" s="6"/>
      <c r="F26" s="8"/>
      <c r="G26" s="6"/>
      <c r="H26" s="6"/>
      <c r="I26" s="6"/>
      <c r="J26" s="8"/>
      <c r="K26" s="36">
        <v>44835</v>
      </c>
      <c r="L26" s="8"/>
      <c r="M26" s="6" t="s">
        <v>211</v>
      </c>
      <c r="N26" s="6"/>
      <c r="O26" s="6" t="s">
        <v>212</v>
      </c>
      <c r="P26" s="6"/>
      <c r="Q26" s="6"/>
      <c r="R26" s="6"/>
      <c r="S26" s="6" t="s">
        <v>169</v>
      </c>
      <c r="T26" s="6"/>
      <c r="U26" s="6"/>
      <c r="V26" s="6"/>
      <c r="W26" s="6"/>
      <c r="AK26" s="37">
        <v>45597</v>
      </c>
    </row>
    <row r="27" spans="2:37" x14ac:dyDescent="0.5">
      <c r="B27" s="6">
        <v>24</v>
      </c>
      <c r="C27" s="8"/>
      <c r="D27" s="6" t="s">
        <v>68</v>
      </c>
      <c r="E27" s="6"/>
      <c r="F27" s="8"/>
      <c r="G27" s="6"/>
      <c r="H27" s="6"/>
      <c r="I27" s="6"/>
      <c r="J27" s="8"/>
      <c r="K27" s="36">
        <v>44835</v>
      </c>
      <c r="L27" s="8"/>
      <c r="M27" s="6" t="s">
        <v>214</v>
      </c>
      <c r="N27" s="6"/>
      <c r="O27" s="6" t="s">
        <v>213</v>
      </c>
      <c r="P27" s="6"/>
      <c r="Q27" s="6"/>
      <c r="R27" s="6"/>
      <c r="S27" s="6" t="s">
        <v>169</v>
      </c>
      <c r="T27" s="6"/>
      <c r="U27" s="6"/>
      <c r="V27" s="6"/>
      <c r="W27" s="6"/>
      <c r="AK27" s="37">
        <v>45627</v>
      </c>
    </row>
    <row r="28" spans="2:37" x14ac:dyDescent="0.5">
      <c r="B28" s="6">
        <v>25</v>
      </c>
      <c r="C28" s="8"/>
      <c r="D28" s="6" t="s">
        <v>68</v>
      </c>
      <c r="E28" s="6"/>
      <c r="F28" s="8"/>
      <c r="G28" s="6"/>
      <c r="H28" s="6"/>
      <c r="I28" s="6"/>
      <c r="J28" s="8"/>
      <c r="K28" s="36">
        <v>44835</v>
      </c>
      <c r="L28" s="8"/>
      <c r="M28" s="6" t="s">
        <v>215</v>
      </c>
      <c r="N28" s="6"/>
      <c r="O28" s="6" t="s">
        <v>216</v>
      </c>
      <c r="P28" s="6"/>
      <c r="Q28" s="6"/>
      <c r="R28" s="6"/>
      <c r="S28" s="6" t="s">
        <v>169</v>
      </c>
      <c r="T28" s="6"/>
      <c r="U28" s="6"/>
      <c r="V28" s="6"/>
      <c r="W28" s="6"/>
      <c r="AK28" s="37">
        <v>45658</v>
      </c>
    </row>
    <row r="29" spans="2:37" x14ac:dyDescent="0.5">
      <c r="B29" s="6">
        <v>26</v>
      </c>
      <c r="C29" s="8"/>
      <c r="D29" s="6" t="s">
        <v>68</v>
      </c>
      <c r="E29" s="6"/>
      <c r="F29" s="8"/>
      <c r="G29" s="6"/>
      <c r="H29" s="6"/>
      <c r="I29" s="6"/>
      <c r="J29" s="8"/>
      <c r="K29" s="36">
        <v>44835</v>
      </c>
      <c r="L29" s="8"/>
      <c r="M29" s="6" t="s">
        <v>218</v>
      </c>
      <c r="N29" s="6"/>
      <c r="O29" s="6" t="s">
        <v>217</v>
      </c>
      <c r="P29" s="6"/>
      <c r="Q29" s="6"/>
      <c r="R29" s="6"/>
      <c r="S29" s="6" t="s">
        <v>169</v>
      </c>
      <c r="T29" s="6"/>
      <c r="U29" s="6"/>
      <c r="V29" s="6"/>
      <c r="W29" s="6"/>
      <c r="AK29" s="37"/>
    </row>
    <row r="30" spans="2:37" x14ac:dyDescent="0.5">
      <c r="B30" s="6">
        <v>27</v>
      </c>
      <c r="C30" s="8"/>
      <c r="D30" s="6" t="s">
        <v>68</v>
      </c>
      <c r="E30" s="6"/>
      <c r="F30" s="8"/>
      <c r="G30" s="6"/>
      <c r="H30" s="6"/>
      <c r="I30" s="6"/>
      <c r="J30" s="8"/>
      <c r="K30" s="36">
        <v>44713</v>
      </c>
      <c r="L30" s="8"/>
      <c r="M30" s="6" t="s">
        <v>243</v>
      </c>
      <c r="N30" s="6"/>
      <c r="O30" s="6" t="s">
        <v>244</v>
      </c>
      <c r="P30" s="6"/>
      <c r="Q30" s="6"/>
      <c r="R30" s="6"/>
      <c r="S30" s="6" t="s">
        <v>169</v>
      </c>
      <c r="T30" s="6"/>
      <c r="U30" s="6"/>
      <c r="V30" s="6"/>
      <c r="W30" s="6"/>
      <c r="AK30" s="37"/>
    </row>
    <row r="31" spans="2:37" x14ac:dyDescent="0.5">
      <c r="B31" s="6">
        <v>28</v>
      </c>
      <c r="C31" s="8"/>
      <c r="D31" s="6" t="s">
        <v>68</v>
      </c>
      <c r="E31" s="6"/>
      <c r="F31" s="8"/>
      <c r="G31" s="6"/>
      <c r="H31" s="6"/>
      <c r="I31" s="6"/>
      <c r="J31" s="8"/>
      <c r="K31" s="36">
        <v>44835</v>
      </c>
      <c r="L31" s="8"/>
      <c r="M31" s="6" t="s">
        <v>205</v>
      </c>
      <c r="N31" s="6"/>
      <c r="O31" s="6" t="s">
        <v>219</v>
      </c>
      <c r="P31" s="6"/>
      <c r="Q31" s="6"/>
      <c r="R31" s="6"/>
      <c r="S31" s="6" t="s">
        <v>169</v>
      </c>
      <c r="T31" s="6"/>
      <c r="U31" s="6"/>
      <c r="V31" s="6"/>
      <c r="W31" s="6"/>
    </row>
    <row r="32" spans="2:37" x14ac:dyDescent="0.5">
      <c r="B32" s="6">
        <v>29</v>
      </c>
      <c r="C32" s="8"/>
      <c r="D32" s="6" t="s">
        <v>68</v>
      </c>
      <c r="E32" s="6"/>
      <c r="F32" s="8"/>
      <c r="G32" s="6"/>
      <c r="H32" s="6"/>
      <c r="I32" s="6"/>
      <c r="J32" s="8"/>
      <c r="K32" s="36">
        <v>45078</v>
      </c>
      <c r="L32" s="8"/>
      <c r="M32" s="6" t="s">
        <v>222</v>
      </c>
      <c r="N32" s="6"/>
      <c r="O32" s="6" t="s">
        <v>223</v>
      </c>
      <c r="P32" s="6"/>
      <c r="Q32" s="6"/>
      <c r="R32" s="6"/>
      <c r="S32" s="6" t="s">
        <v>169</v>
      </c>
      <c r="T32" s="6"/>
      <c r="U32" s="6"/>
      <c r="V32" s="6"/>
      <c r="W32" s="6"/>
    </row>
    <row r="33" spans="2:38" x14ac:dyDescent="0.5">
      <c r="B33" s="6">
        <v>30</v>
      </c>
      <c r="C33" s="8"/>
      <c r="D33" s="6" t="s">
        <v>68</v>
      </c>
      <c r="E33" s="6"/>
      <c r="F33" s="8"/>
      <c r="G33" s="6"/>
      <c r="H33" s="6"/>
      <c r="I33" s="6"/>
      <c r="J33" s="8"/>
      <c r="K33" s="36">
        <v>44713</v>
      </c>
      <c r="L33" s="8"/>
      <c r="M33" s="6" t="s">
        <v>239</v>
      </c>
      <c r="N33" s="6"/>
      <c r="O33" s="6" t="s">
        <v>240</v>
      </c>
      <c r="P33" s="6"/>
      <c r="Q33" s="6"/>
      <c r="R33" s="6"/>
      <c r="S33" s="6" t="s">
        <v>169</v>
      </c>
      <c r="T33" s="6"/>
      <c r="U33" s="6"/>
      <c r="V33" s="6"/>
      <c r="W33" s="6"/>
    </row>
    <row r="34" spans="2:38" x14ac:dyDescent="0.5">
      <c r="B34" s="6">
        <v>31</v>
      </c>
      <c r="C34" s="8"/>
      <c r="D34" s="6" t="s">
        <v>68</v>
      </c>
      <c r="E34" s="6"/>
      <c r="F34" s="8"/>
      <c r="G34" s="6"/>
      <c r="H34" s="6"/>
      <c r="I34" s="6"/>
      <c r="J34" s="8"/>
      <c r="K34" s="36">
        <v>44896</v>
      </c>
      <c r="L34" s="8"/>
      <c r="M34" s="6" t="s">
        <v>241</v>
      </c>
      <c r="N34" s="6"/>
      <c r="O34" s="6" t="s">
        <v>242</v>
      </c>
      <c r="P34" s="6"/>
      <c r="Q34" s="6"/>
      <c r="R34" s="6"/>
      <c r="S34" s="6" t="s">
        <v>169</v>
      </c>
      <c r="T34" s="6"/>
      <c r="U34" s="6"/>
      <c r="V34" s="6"/>
      <c r="W34" s="6"/>
    </row>
    <row r="35" spans="2:38" x14ac:dyDescent="0.5">
      <c r="B35" s="6">
        <v>32</v>
      </c>
      <c r="C35" s="8"/>
      <c r="D35" s="6" t="s">
        <v>68</v>
      </c>
      <c r="E35" s="6"/>
      <c r="F35" s="8"/>
      <c r="G35" s="6"/>
      <c r="H35" s="6"/>
      <c r="I35" s="6"/>
      <c r="J35" s="8"/>
      <c r="K35" s="36">
        <v>44835</v>
      </c>
      <c r="L35" s="8"/>
      <c r="M35" s="6" t="s">
        <v>52</v>
      </c>
      <c r="N35" s="6"/>
      <c r="O35" s="6" t="s">
        <v>245</v>
      </c>
      <c r="P35" s="6"/>
      <c r="Q35" s="6"/>
      <c r="R35" s="6"/>
      <c r="S35" s="6" t="s">
        <v>169</v>
      </c>
      <c r="T35" s="6"/>
      <c r="U35" s="6"/>
      <c r="V35" s="6"/>
      <c r="W35" s="6"/>
    </row>
    <row r="36" spans="2:38" ht="20.399999999999999" thickBot="1" x14ac:dyDescent="0.55000000000000004">
      <c r="B36" s="50">
        <v>33</v>
      </c>
      <c r="C36" s="51"/>
      <c r="D36" s="50" t="s">
        <v>261</v>
      </c>
      <c r="E36" s="50" t="s">
        <v>70</v>
      </c>
      <c r="F36" s="51"/>
      <c r="G36" s="50"/>
      <c r="H36" s="50"/>
      <c r="I36" s="50"/>
      <c r="J36" s="51">
        <v>44611</v>
      </c>
      <c r="K36" s="52">
        <v>44805</v>
      </c>
      <c r="L36" s="51">
        <v>44807</v>
      </c>
      <c r="M36" s="50" t="s">
        <v>52</v>
      </c>
      <c r="N36" s="50"/>
      <c r="O36" s="50" t="s">
        <v>52</v>
      </c>
      <c r="P36" s="50"/>
      <c r="Q36" s="50"/>
      <c r="R36" s="50"/>
      <c r="S36" s="50" t="s">
        <v>169</v>
      </c>
      <c r="T36" s="50"/>
      <c r="U36" s="50"/>
      <c r="V36" s="50"/>
      <c r="W36" s="50" t="s">
        <v>277</v>
      </c>
    </row>
    <row r="37" spans="2:38" x14ac:dyDescent="0.5">
      <c r="B37" s="42">
        <v>49</v>
      </c>
      <c r="C37" s="46">
        <v>44647</v>
      </c>
      <c r="D37" s="42" t="s">
        <v>67</v>
      </c>
      <c r="E37" s="42" t="s">
        <v>70</v>
      </c>
      <c r="F37" s="46">
        <v>44608</v>
      </c>
      <c r="G37" s="42" t="s">
        <v>262</v>
      </c>
      <c r="H37" s="42" t="s">
        <v>278</v>
      </c>
      <c r="I37" s="42"/>
      <c r="J37" s="46">
        <v>44612</v>
      </c>
      <c r="K37" s="48">
        <v>44805</v>
      </c>
      <c r="L37" s="46">
        <v>44823</v>
      </c>
      <c r="M37" s="42" t="s">
        <v>327</v>
      </c>
      <c r="N37" s="42" t="s">
        <v>269</v>
      </c>
      <c r="O37" s="42" t="s">
        <v>326</v>
      </c>
      <c r="P37" s="42" t="s">
        <v>269</v>
      </c>
      <c r="Q37" s="42" t="s">
        <v>328</v>
      </c>
      <c r="R37" s="42"/>
      <c r="S37" s="42" t="s">
        <v>169</v>
      </c>
      <c r="T37" s="42" t="s">
        <v>286</v>
      </c>
      <c r="U37" s="42" t="s">
        <v>290</v>
      </c>
      <c r="V37" s="42"/>
      <c r="W37" s="42" t="s">
        <v>329</v>
      </c>
    </row>
    <row r="38" spans="2:38" x14ac:dyDescent="0.5">
      <c r="B38" s="6">
        <v>34</v>
      </c>
      <c r="C38" s="8">
        <v>44621</v>
      </c>
      <c r="D38" s="6" t="s">
        <v>66</v>
      </c>
      <c r="E38" s="6" t="s">
        <v>52</v>
      </c>
      <c r="F38" s="8"/>
      <c r="G38" s="6"/>
      <c r="H38" s="6"/>
      <c r="I38" s="6"/>
      <c r="J38" s="8">
        <v>44618</v>
      </c>
      <c r="K38" s="36">
        <v>44743</v>
      </c>
      <c r="L38" s="8">
        <v>44772</v>
      </c>
      <c r="M38" s="6" t="s">
        <v>251</v>
      </c>
      <c r="N38" s="6"/>
      <c r="O38" s="6" t="s">
        <v>252</v>
      </c>
      <c r="P38" s="6"/>
      <c r="Q38" s="6"/>
      <c r="R38" s="6"/>
      <c r="S38" s="6" t="s">
        <v>169</v>
      </c>
      <c r="T38" s="6"/>
      <c r="U38" s="6"/>
      <c r="V38" s="6"/>
      <c r="W38" s="6"/>
    </row>
    <row r="39" spans="2:38" x14ac:dyDescent="0.5">
      <c r="B39" s="6">
        <v>35</v>
      </c>
      <c r="C39" s="8">
        <v>44625</v>
      </c>
      <c r="D39" s="6" t="s">
        <v>66</v>
      </c>
      <c r="E39" s="6" t="s">
        <v>52</v>
      </c>
      <c r="F39" s="8"/>
      <c r="G39" s="6"/>
      <c r="H39" s="6"/>
      <c r="I39" s="6"/>
      <c r="J39" s="8">
        <v>44619</v>
      </c>
      <c r="K39" s="36">
        <v>44774</v>
      </c>
      <c r="L39" s="8">
        <v>44779</v>
      </c>
      <c r="M39" s="6" t="s">
        <v>253</v>
      </c>
      <c r="N39" s="6"/>
      <c r="O39" s="6" t="s">
        <v>253</v>
      </c>
      <c r="P39" s="6"/>
      <c r="Q39" s="6"/>
      <c r="R39" s="6"/>
      <c r="S39" s="6" t="s">
        <v>220</v>
      </c>
      <c r="T39" s="6"/>
      <c r="U39" s="6"/>
      <c r="V39" s="6"/>
      <c r="W39" s="6"/>
    </row>
    <row r="40" spans="2:38" x14ac:dyDescent="0.5">
      <c r="B40" s="6">
        <v>36</v>
      </c>
      <c r="C40" s="8">
        <v>44629</v>
      </c>
      <c r="D40" s="6" t="s">
        <v>66</v>
      </c>
      <c r="E40" s="6" t="s">
        <v>70</v>
      </c>
      <c r="F40" s="8">
        <v>44619</v>
      </c>
      <c r="G40" s="6" t="s">
        <v>5</v>
      </c>
      <c r="H40" s="6" t="s">
        <v>77</v>
      </c>
      <c r="I40" s="6"/>
      <c r="J40" s="8">
        <v>44626</v>
      </c>
      <c r="K40" s="36">
        <v>44774</v>
      </c>
      <c r="L40" s="8">
        <v>44801</v>
      </c>
      <c r="M40" s="6" t="s">
        <v>268</v>
      </c>
      <c r="N40" s="6" t="s">
        <v>269</v>
      </c>
      <c r="O40" s="6" t="s">
        <v>270</v>
      </c>
      <c r="P40" s="6" t="s">
        <v>269</v>
      </c>
      <c r="Q40" s="6" t="s">
        <v>266</v>
      </c>
      <c r="R40" s="6" t="s">
        <v>106</v>
      </c>
      <c r="S40" s="6" t="s">
        <v>169</v>
      </c>
      <c r="T40" s="6" t="s">
        <v>267</v>
      </c>
      <c r="U40" s="6" t="s">
        <v>143</v>
      </c>
      <c r="V40" s="6"/>
      <c r="W40" s="6" t="s">
        <v>276</v>
      </c>
    </row>
    <row r="41" spans="2:38" ht="20.399999999999999" thickBot="1" x14ac:dyDescent="0.55000000000000004">
      <c r="B41" s="40">
        <v>37</v>
      </c>
      <c r="C41" s="47"/>
      <c r="D41" s="40" t="s">
        <v>118</v>
      </c>
      <c r="E41" s="40" t="s">
        <v>52</v>
      </c>
      <c r="F41" s="44">
        <v>44620</v>
      </c>
      <c r="G41" s="40" t="s">
        <v>255</v>
      </c>
      <c r="H41" s="40" t="s">
        <v>77</v>
      </c>
      <c r="I41" s="43"/>
      <c r="J41" s="44">
        <v>44626</v>
      </c>
      <c r="K41" s="49">
        <v>44805</v>
      </c>
      <c r="L41" s="47"/>
      <c r="M41" s="43" t="s">
        <v>256</v>
      </c>
      <c r="N41" s="43" t="s">
        <v>275</v>
      </c>
      <c r="O41" s="43" t="s">
        <v>257</v>
      </c>
      <c r="P41" s="43" t="s">
        <v>269</v>
      </c>
      <c r="Q41" s="40" t="s">
        <v>271</v>
      </c>
      <c r="R41" s="40" t="s">
        <v>272</v>
      </c>
      <c r="S41" s="43" t="s">
        <v>169</v>
      </c>
      <c r="T41" s="43" t="s">
        <v>273</v>
      </c>
      <c r="U41" s="43" t="s">
        <v>274</v>
      </c>
      <c r="V41" s="43"/>
      <c r="W41" s="6" t="s">
        <v>303</v>
      </c>
      <c r="AL41" t="s">
        <v>247</v>
      </c>
    </row>
    <row r="42" spans="2:38" ht="20.399999999999999" thickTop="1" x14ac:dyDescent="0.5">
      <c r="B42" s="41">
        <v>39</v>
      </c>
      <c r="C42" s="46"/>
      <c r="D42" s="41"/>
      <c r="E42" s="41"/>
      <c r="F42" s="45">
        <v>44624</v>
      </c>
      <c r="G42" s="41" t="s">
        <v>61</v>
      </c>
      <c r="H42" s="41" t="s">
        <v>65</v>
      </c>
      <c r="I42" s="42"/>
      <c r="J42" s="45"/>
      <c r="K42" s="48"/>
      <c r="L42" s="46"/>
      <c r="M42" s="42" t="s">
        <v>259</v>
      </c>
      <c r="N42" s="42"/>
      <c r="O42" s="42"/>
      <c r="P42" s="42"/>
      <c r="Q42" s="41"/>
      <c r="R42" s="41"/>
      <c r="S42" s="42"/>
      <c r="T42" s="42"/>
      <c r="U42" s="42"/>
      <c r="V42" s="42"/>
      <c r="W42" s="6" t="s">
        <v>260</v>
      </c>
      <c r="AL42" t="s">
        <v>250</v>
      </c>
    </row>
    <row r="43" spans="2:38" x14ac:dyDescent="0.5">
      <c r="B43" s="6">
        <v>38</v>
      </c>
      <c r="C43" s="8">
        <v>44636</v>
      </c>
      <c r="D43" s="6" t="s">
        <v>66</v>
      </c>
      <c r="E43" s="6" t="s">
        <v>70</v>
      </c>
      <c r="F43" s="8">
        <v>44619</v>
      </c>
      <c r="G43" s="6" t="s">
        <v>258</v>
      </c>
      <c r="H43" s="6" t="s">
        <v>77</v>
      </c>
      <c r="I43" s="6"/>
      <c r="J43" s="8">
        <v>44633</v>
      </c>
      <c r="K43" s="36">
        <v>44805</v>
      </c>
      <c r="L43" s="8">
        <v>44815</v>
      </c>
      <c r="M43" s="6" t="s">
        <v>287</v>
      </c>
      <c r="N43" s="6" t="s">
        <v>269</v>
      </c>
      <c r="O43" s="6" t="s">
        <v>288</v>
      </c>
      <c r="P43" s="6" t="s">
        <v>269</v>
      </c>
      <c r="Q43" s="6" t="s">
        <v>271</v>
      </c>
      <c r="R43" s="6" t="s">
        <v>285</v>
      </c>
      <c r="S43" s="6" t="s">
        <v>169</v>
      </c>
      <c r="T43" s="6" t="s">
        <v>286</v>
      </c>
      <c r="U43" s="6" t="s">
        <v>221</v>
      </c>
      <c r="V43" s="6" t="s">
        <v>283</v>
      </c>
      <c r="W43" s="6" t="s">
        <v>289</v>
      </c>
    </row>
    <row r="44" spans="2:38" x14ac:dyDescent="0.5">
      <c r="B44" s="6">
        <v>41</v>
      </c>
      <c r="C44" s="8"/>
      <c r="D44" s="6"/>
      <c r="E44" s="6"/>
      <c r="F44" s="8">
        <v>44626</v>
      </c>
      <c r="G44" s="6" t="s">
        <v>262</v>
      </c>
      <c r="H44" s="6" t="s">
        <v>65</v>
      </c>
      <c r="I44" s="6"/>
      <c r="J44" s="8"/>
      <c r="K44" s="36"/>
      <c r="L44" s="8"/>
      <c r="M44" s="6"/>
      <c r="N44" s="6"/>
      <c r="O44" s="39" t="s">
        <v>264</v>
      </c>
      <c r="P44" s="6"/>
      <c r="Q44" s="6"/>
      <c r="R44" s="6"/>
      <c r="S44" s="6"/>
      <c r="T44" s="6"/>
      <c r="U44" s="6"/>
      <c r="V44" s="6"/>
      <c r="W44" s="6"/>
    </row>
    <row r="45" spans="2:38" x14ac:dyDescent="0.5">
      <c r="B45" s="6">
        <v>42</v>
      </c>
      <c r="C45" s="8"/>
      <c r="D45" s="6"/>
      <c r="E45" s="6"/>
      <c r="F45" s="8">
        <v>44626</v>
      </c>
      <c r="G45" s="6" t="s">
        <v>262</v>
      </c>
      <c r="H45" s="6" t="s">
        <v>65</v>
      </c>
      <c r="I45" s="6"/>
      <c r="J45" s="8"/>
      <c r="K45" s="36"/>
      <c r="L45" s="8"/>
      <c r="M45" s="6"/>
      <c r="N45" s="6"/>
      <c r="O45" s="6" t="s">
        <v>265</v>
      </c>
      <c r="P45" s="6"/>
      <c r="Q45" s="6"/>
      <c r="R45" s="6"/>
      <c r="S45" s="6"/>
      <c r="T45" s="6"/>
      <c r="U45" s="6"/>
      <c r="V45" s="6"/>
      <c r="W45" s="6"/>
    </row>
    <row r="46" spans="2:38" x14ac:dyDescent="0.5">
      <c r="B46" s="6">
        <v>40</v>
      </c>
      <c r="C46" s="8"/>
      <c r="D46" s="6" t="s">
        <v>118</v>
      </c>
      <c r="E46" s="6" t="s">
        <v>71</v>
      </c>
      <c r="F46" s="8">
        <v>44625</v>
      </c>
      <c r="G46" s="6" t="s">
        <v>262</v>
      </c>
      <c r="H46" s="6" t="s">
        <v>77</v>
      </c>
      <c r="I46" s="6"/>
      <c r="J46" s="8">
        <v>44633</v>
      </c>
      <c r="K46" s="36">
        <v>44835</v>
      </c>
      <c r="L46" s="8"/>
      <c r="M46" s="6" t="s">
        <v>282</v>
      </c>
      <c r="N46" s="6" t="s">
        <v>269</v>
      </c>
      <c r="O46" s="6" t="s">
        <v>263</v>
      </c>
      <c r="P46" s="6" t="s">
        <v>269</v>
      </c>
      <c r="Q46" s="6" t="s">
        <v>266</v>
      </c>
      <c r="R46" s="6" t="s">
        <v>106</v>
      </c>
      <c r="S46" s="6" t="s">
        <v>166</v>
      </c>
      <c r="T46" s="6" t="s">
        <v>273</v>
      </c>
      <c r="U46" s="6" t="s">
        <v>283</v>
      </c>
      <c r="V46" s="6"/>
      <c r="W46" s="6" t="s">
        <v>284</v>
      </c>
      <c r="AL46" t="s">
        <v>249</v>
      </c>
    </row>
    <row r="47" spans="2:38" x14ac:dyDescent="0.5">
      <c r="B47" s="6">
        <v>44</v>
      </c>
      <c r="C47" s="8">
        <v>44676</v>
      </c>
      <c r="D47" s="6" t="s">
        <v>67</v>
      </c>
      <c r="E47" s="6" t="s">
        <v>52</v>
      </c>
      <c r="F47" s="8">
        <v>44631</v>
      </c>
      <c r="G47" s="6" t="s">
        <v>72</v>
      </c>
      <c r="H47" s="6" t="s">
        <v>77</v>
      </c>
      <c r="I47" s="6"/>
      <c r="J47" s="8">
        <v>44634</v>
      </c>
      <c r="K47" s="36">
        <v>44805</v>
      </c>
      <c r="L47" s="8">
        <v>44807</v>
      </c>
      <c r="M47" s="6" t="s">
        <v>296</v>
      </c>
      <c r="N47" s="6" t="s">
        <v>269</v>
      </c>
      <c r="O47" s="6" t="s">
        <v>297</v>
      </c>
      <c r="P47" s="6" t="s">
        <v>269</v>
      </c>
      <c r="Q47" s="6" t="s">
        <v>295</v>
      </c>
      <c r="R47" s="6" t="s">
        <v>106</v>
      </c>
      <c r="S47" s="6" t="s">
        <v>169</v>
      </c>
      <c r="T47" s="6" t="s">
        <v>267</v>
      </c>
      <c r="U47" s="6" t="s">
        <v>290</v>
      </c>
      <c r="V47" s="6"/>
      <c r="W47" s="6" t="s">
        <v>394</v>
      </c>
    </row>
    <row r="48" spans="2:38" x14ac:dyDescent="0.5">
      <c r="B48" s="6">
        <v>47</v>
      </c>
      <c r="C48" s="8">
        <v>44683</v>
      </c>
      <c r="D48" s="6" t="s">
        <v>66</v>
      </c>
      <c r="E48" s="6" t="s">
        <v>52</v>
      </c>
      <c r="F48" s="8">
        <v>44630</v>
      </c>
      <c r="G48" s="6" t="s">
        <v>61</v>
      </c>
      <c r="H48" s="6" t="s">
        <v>65</v>
      </c>
      <c r="I48" s="6"/>
      <c r="J48" s="8">
        <v>44638</v>
      </c>
      <c r="K48" s="36">
        <v>44805</v>
      </c>
      <c r="L48" s="8">
        <v>44808</v>
      </c>
      <c r="M48" s="6" t="s">
        <v>300</v>
      </c>
      <c r="N48" s="6" t="s">
        <v>301</v>
      </c>
      <c r="O48" s="6" t="s">
        <v>302</v>
      </c>
      <c r="P48" s="6" t="s">
        <v>301</v>
      </c>
      <c r="Q48" s="6" t="s">
        <v>295</v>
      </c>
      <c r="R48" s="6" t="s">
        <v>106</v>
      </c>
      <c r="S48" s="6" t="s">
        <v>169</v>
      </c>
      <c r="T48" s="6" t="s">
        <v>267</v>
      </c>
      <c r="U48" s="6"/>
      <c r="V48" s="6"/>
      <c r="W48" s="6" t="s">
        <v>408</v>
      </c>
      <c r="AL48" t="s">
        <v>246</v>
      </c>
    </row>
    <row r="49" spans="2:41" x14ac:dyDescent="0.5">
      <c r="B49" s="6">
        <v>46</v>
      </c>
      <c r="C49" s="8"/>
      <c r="D49" s="6"/>
      <c r="E49" s="6"/>
      <c r="F49" s="8">
        <v>44631</v>
      </c>
      <c r="G49" s="6" t="s">
        <v>262</v>
      </c>
      <c r="H49" s="6" t="s">
        <v>65</v>
      </c>
      <c r="I49" s="6"/>
      <c r="J49" s="8"/>
      <c r="K49" s="36"/>
      <c r="L49" s="8"/>
      <c r="M49" s="6"/>
      <c r="N49" s="6"/>
      <c r="O49" s="6" t="s">
        <v>280</v>
      </c>
      <c r="P49" s="6"/>
      <c r="Q49" s="6"/>
      <c r="R49" s="6"/>
      <c r="S49" s="6"/>
      <c r="T49" s="6"/>
      <c r="U49" s="6"/>
      <c r="V49" s="6"/>
      <c r="W49" s="6" t="s">
        <v>347</v>
      </c>
      <c r="AM49" t="s">
        <v>231</v>
      </c>
      <c r="AN49" t="s">
        <v>232</v>
      </c>
      <c r="AO49" t="s">
        <v>233</v>
      </c>
    </row>
    <row r="50" spans="2:41" x14ac:dyDescent="0.5">
      <c r="B50" s="6">
        <v>43</v>
      </c>
      <c r="C50" s="8">
        <v>44690</v>
      </c>
      <c r="D50" s="6" t="s">
        <v>393</v>
      </c>
      <c r="E50" s="6" t="s">
        <v>70</v>
      </c>
      <c r="F50" s="8">
        <v>44627</v>
      </c>
      <c r="G50" s="6" t="s">
        <v>61</v>
      </c>
      <c r="H50" s="6" t="s">
        <v>278</v>
      </c>
      <c r="I50" s="6" t="s">
        <v>79</v>
      </c>
      <c r="J50" s="8">
        <v>44639</v>
      </c>
      <c r="K50" s="36">
        <v>45139</v>
      </c>
      <c r="L50" s="8">
        <v>45164</v>
      </c>
      <c r="M50" s="6" t="s">
        <v>306</v>
      </c>
      <c r="N50" s="6" t="s">
        <v>301</v>
      </c>
      <c r="O50" s="6" t="s">
        <v>298</v>
      </c>
      <c r="P50" s="6" t="s">
        <v>301</v>
      </c>
      <c r="Q50" s="6" t="s">
        <v>271</v>
      </c>
      <c r="R50" s="6" t="s">
        <v>107</v>
      </c>
      <c r="S50" s="6" t="s">
        <v>169</v>
      </c>
      <c r="T50" s="6" t="s">
        <v>267</v>
      </c>
      <c r="U50" s="6"/>
      <c r="V50" s="6"/>
      <c r="W50" s="6" t="s">
        <v>307</v>
      </c>
      <c r="AM50" t="s">
        <v>248</v>
      </c>
      <c r="AN50" t="s">
        <v>248</v>
      </c>
      <c r="AO50" t="s">
        <v>248</v>
      </c>
    </row>
    <row r="51" spans="2:41" x14ac:dyDescent="0.5">
      <c r="B51" s="6">
        <v>45</v>
      </c>
      <c r="C51" s="8">
        <v>44641</v>
      </c>
      <c r="D51" s="6" t="s">
        <v>67</v>
      </c>
      <c r="E51" s="6" t="s">
        <v>71</v>
      </c>
      <c r="F51" s="8">
        <v>44629</v>
      </c>
      <c r="G51" s="6" t="s">
        <v>61</v>
      </c>
      <c r="H51" s="6" t="s">
        <v>305</v>
      </c>
      <c r="I51" s="6" t="s">
        <v>338</v>
      </c>
      <c r="J51" s="8">
        <v>44639</v>
      </c>
      <c r="K51" s="36">
        <v>44743</v>
      </c>
      <c r="L51" s="8">
        <v>44760</v>
      </c>
      <c r="M51" s="6" t="s">
        <v>279</v>
      </c>
      <c r="N51" s="6" t="s">
        <v>269</v>
      </c>
      <c r="O51" s="6" t="s">
        <v>304</v>
      </c>
      <c r="P51" s="6" t="s">
        <v>269</v>
      </c>
      <c r="Q51" s="6" t="s">
        <v>295</v>
      </c>
      <c r="R51" s="6" t="s">
        <v>107</v>
      </c>
      <c r="S51" s="6" t="s">
        <v>166</v>
      </c>
      <c r="T51" s="6" t="s">
        <v>267</v>
      </c>
      <c r="U51" s="6"/>
      <c r="V51" s="6"/>
      <c r="W51" s="6" t="s">
        <v>312</v>
      </c>
      <c r="AM51" t="s">
        <v>234</v>
      </c>
      <c r="AN51" t="s">
        <v>64</v>
      </c>
      <c r="AO51" t="s">
        <v>235</v>
      </c>
    </row>
    <row r="52" spans="2:41" x14ac:dyDescent="0.5">
      <c r="B52" s="6">
        <v>52</v>
      </c>
      <c r="C52" s="8"/>
      <c r="D52" s="6" t="s">
        <v>122</v>
      </c>
      <c r="E52" s="6" t="s">
        <v>52</v>
      </c>
      <c r="F52" s="8">
        <v>44639</v>
      </c>
      <c r="G52" s="6" t="s">
        <v>61</v>
      </c>
      <c r="H52" s="6" t="s">
        <v>278</v>
      </c>
      <c r="I52" s="6" t="s">
        <v>79</v>
      </c>
      <c r="J52" s="8">
        <v>44640</v>
      </c>
      <c r="K52" s="36">
        <v>45108</v>
      </c>
      <c r="L52" s="8" t="s">
        <v>311</v>
      </c>
      <c r="M52" s="6" t="s">
        <v>308</v>
      </c>
      <c r="N52" s="6" t="s">
        <v>275</v>
      </c>
      <c r="O52" s="6" t="s">
        <v>309</v>
      </c>
      <c r="P52" s="6" t="s">
        <v>310</v>
      </c>
      <c r="Q52" s="6" t="s">
        <v>271</v>
      </c>
      <c r="R52" s="6" t="s">
        <v>272</v>
      </c>
      <c r="S52" s="6" t="s">
        <v>169</v>
      </c>
      <c r="T52" s="6" t="s">
        <v>267</v>
      </c>
      <c r="U52" s="6"/>
      <c r="V52" s="6"/>
      <c r="W52" s="6" t="s">
        <v>346</v>
      </c>
      <c r="AM52" t="s">
        <v>236</v>
      </c>
      <c r="AN52" t="s">
        <v>237</v>
      </c>
      <c r="AO52" t="s">
        <v>238</v>
      </c>
    </row>
    <row r="53" spans="2:41" x14ac:dyDescent="0.5">
      <c r="B53" s="6">
        <v>50</v>
      </c>
      <c r="C53" s="8"/>
      <c r="D53" s="6"/>
      <c r="E53" s="6"/>
      <c r="F53" s="8">
        <v>44634</v>
      </c>
      <c r="G53" s="6" t="s">
        <v>61</v>
      </c>
      <c r="H53" s="6" t="s">
        <v>65</v>
      </c>
      <c r="I53" s="6"/>
      <c r="J53" s="8"/>
      <c r="K53" s="36"/>
      <c r="L53" s="8"/>
      <c r="M53" s="6"/>
      <c r="N53" s="6"/>
      <c r="O53" s="6" t="s">
        <v>291</v>
      </c>
      <c r="P53" s="6"/>
      <c r="Q53" s="6"/>
      <c r="R53" s="6"/>
      <c r="S53" s="6"/>
      <c r="T53" s="6"/>
      <c r="U53" s="6"/>
      <c r="V53" s="6"/>
      <c r="W53" s="6" t="s">
        <v>294</v>
      </c>
    </row>
    <row r="54" spans="2:41" x14ac:dyDescent="0.5">
      <c r="B54" s="6">
        <v>51</v>
      </c>
      <c r="C54" s="8"/>
      <c r="D54" s="6"/>
      <c r="E54" s="6"/>
      <c r="F54" s="8">
        <v>44634</v>
      </c>
      <c r="G54" s="6" t="s">
        <v>61</v>
      </c>
      <c r="H54" s="6" t="s">
        <v>65</v>
      </c>
      <c r="I54" s="6"/>
      <c r="J54" s="8"/>
      <c r="K54" s="36"/>
      <c r="L54" s="8"/>
      <c r="M54" s="6" t="s">
        <v>292</v>
      </c>
      <c r="N54" s="6"/>
      <c r="O54" s="6"/>
      <c r="P54" s="6"/>
      <c r="Q54" s="6"/>
      <c r="R54" s="6"/>
      <c r="S54" s="6"/>
      <c r="T54" s="6"/>
      <c r="U54" s="6"/>
      <c r="V54" s="6"/>
      <c r="W54" s="6" t="s">
        <v>293</v>
      </c>
    </row>
    <row r="55" spans="2:41" x14ac:dyDescent="0.5">
      <c r="B55" s="6">
        <v>53</v>
      </c>
      <c r="C55" s="8"/>
      <c r="D55" s="6" t="s">
        <v>118</v>
      </c>
      <c r="E55" s="6" t="s">
        <v>52</v>
      </c>
      <c r="F55" s="8">
        <v>44642</v>
      </c>
      <c r="G55" s="6" t="s">
        <v>61</v>
      </c>
      <c r="H55" s="6" t="s">
        <v>278</v>
      </c>
      <c r="I55" s="6" t="s">
        <v>254</v>
      </c>
      <c r="J55" s="8">
        <v>44646</v>
      </c>
      <c r="K55" s="36">
        <v>45047</v>
      </c>
      <c r="L55" s="8"/>
      <c r="M55" s="8" t="s">
        <v>313</v>
      </c>
      <c r="N55" s="6" t="s">
        <v>269</v>
      </c>
      <c r="O55" s="6" t="s">
        <v>319</v>
      </c>
      <c r="P55" s="6" t="s">
        <v>269</v>
      </c>
      <c r="Q55" s="6" t="s">
        <v>320</v>
      </c>
      <c r="R55" s="6" t="s">
        <v>321</v>
      </c>
      <c r="S55" s="6" t="s">
        <v>169</v>
      </c>
      <c r="T55" s="6" t="s">
        <v>267</v>
      </c>
      <c r="U55" s="6"/>
      <c r="V55" s="6"/>
      <c r="W55" s="6" t="s">
        <v>323</v>
      </c>
    </row>
    <row r="56" spans="2:41" x14ac:dyDescent="0.5">
      <c r="B56" s="6">
        <v>54</v>
      </c>
      <c r="C56" s="8">
        <v>44646</v>
      </c>
      <c r="D56" s="6" t="s">
        <v>66</v>
      </c>
      <c r="E56" s="6" t="s">
        <v>52</v>
      </c>
      <c r="F56" s="8">
        <v>44641</v>
      </c>
      <c r="G56" s="6" t="s">
        <v>5</v>
      </c>
      <c r="H56" s="6" t="s">
        <v>77</v>
      </c>
      <c r="I56" s="6"/>
      <c r="J56" s="8">
        <v>44646</v>
      </c>
      <c r="K56" s="36">
        <v>44743</v>
      </c>
      <c r="L56" s="8">
        <v>44771</v>
      </c>
      <c r="M56" s="8" t="s">
        <v>315</v>
      </c>
      <c r="N56" s="6" t="s">
        <v>316</v>
      </c>
      <c r="O56" s="8" t="s">
        <v>317</v>
      </c>
      <c r="P56" s="6" t="s">
        <v>318</v>
      </c>
      <c r="Q56" s="6" t="s">
        <v>266</v>
      </c>
      <c r="R56" s="6" t="s">
        <v>106</v>
      </c>
      <c r="S56" s="6" t="s">
        <v>166</v>
      </c>
      <c r="T56" s="6" t="s">
        <v>267</v>
      </c>
      <c r="U56" s="6"/>
      <c r="V56" s="6"/>
      <c r="W56" s="6" t="s">
        <v>322</v>
      </c>
    </row>
    <row r="57" spans="2:41" x14ac:dyDescent="0.5">
      <c r="B57" s="6">
        <v>48</v>
      </c>
      <c r="C57" s="8"/>
      <c r="D57" s="6" t="s">
        <v>261</v>
      </c>
      <c r="E57" s="6" t="s">
        <v>52</v>
      </c>
      <c r="F57" s="8">
        <v>44632</v>
      </c>
      <c r="G57" s="6" t="s">
        <v>281</v>
      </c>
      <c r="H57" s="6" t="s">
        <v>77</v>
      </c>
      <c r="I57" s="6"/>
      <c r="J57" s="8">
        <v>44647</v>
      </c>
      <c r="K57" s="36">
        <v>44652</v>
      </c>
      <c r="L57" s="8">
        <v>44674</v>
      </c>
      <c r="M57" s="6" t="s">
        <v>324</v>
      </c>
      <c r="N57" s="6" t="s">
        <v>269</v>
      </c>
      <c r="O57" s="6" t="s">
        <v>325</v>
      </c>
      <c r="P57" s="6" t="s">
        <v>275</v>
      </c>
      <c r="Q57" s="6" t="s">
        <v>266</v>
      </c>
      <c r="R57" s="6" t="s">
        <v>358</v>
      </c>
      <c r="S57" s="6" t="s">
        <v>166</v>
      </c>
      <c r="T57" s="6" t="s">
        <v>273</v>
      </c>
      <c r="U57" s="6" t="s">
        <v>281</v>
      </c>
      <c r="V57" s="6"/>
      <c r="W57" s="6" t="s">
        <v>357</v>
      </c>
    </row>
    <row r="58" spans="2:41" x14ac:dyDescent="0.5">
      <c r="B58" s="6">
        <v>56</v>
      </c>
      <c r="C58" s="8">
        <v>44650</v>
      </c>
      <c r="D58" s="6" t="s">
        <v>66</v>
      </c>
      <c r="E58" s="6" t="s">
        <v>52</v>
      </c>
      <c r="F58" s="8">
        <v>44644</v>
      </c>
      <c r="G58" s="6" t="s">
        <v>61</v>
      </c>
      <c r="H58" s="6" t="s">
        <v>278</v>
      </c>
      <c r="I58" s="6" t="s">
        <v>78</v>
      </c>
      <c r="J58" s="8">
        <v>44648</v>
      </c>
      <c r="K58" s="36">
        <v>44743</v>
      </c>
      <c r="L58" s="8">
        <v>44766</v>
      </c>
      <c r="M58" s="8" t="s">
        <v>314</v>
      </c>
      <c r="N58" s="6" t="s">
        <v>318</v>
      </c>
      <c r="O58" s="8" t="s">
        <v>331</v>
      </c>
      <c r="P58" s="6" t="s">
        <v>269</v>
      </c>
      <c r="Q58" s="6" t="s">
        <v>332</v>
      </c>
      <c r="R58" s="6" t="s">
        <v>106</v>
      </c>
      <c r="S58" s="6" t="s">
        <v>166</v>
      </c>
      <c r="T58" s="6" t="s">
        <v>333</v>
      </c>
      <c r="U58" s="6"/>
      <c r="V58" s="6"/>
      <c r="W58" s="6" t="s">
        <v>334</v>
      </c>
    </row>
    <row r="59" spans="2:41" x14ac:dyDescent="0.5">
      <c r="B59" s="6">
        <v>59</v>
      </c>
      <c r="C59" s="8"/>
      <c r="D59" s="6" t="s">
        <v>118</v>
      </c>
      <c r="E59" s="6" t="s">
        <v>52</v>
      </c>
      <c r="F59" s="8">
        <v>44650</v>
      </c>
      <c r="G59" s="6" t="s">
        <v>72</v>
      </c>
      <c r="H59" s="6" t="s">
        <v>77</v>
      </c>
      <c r="I59" s="6"/>
      <c r="J59" s="8">
        <v>44653</v>
      </c>
      <c r="K59" s="36">
        <v>44866</v>
      </c>
      <c r="L59" s="8"/>
      <c r="M59" s="8" t="s">
        <v>343</v>
      </c>
      <c r="N59" s="6" t="s">
        <v>269</v>
      </c>
      <c r="O59" s="8" t="s">
        <v>344</v>
      </c>
      <c r="P59" s="6"/>
      <c r="Q59" s="6" t="s">
        <v>266</v>
      </c>
      <c r="R59" s="6" t="s">
        <v>106</v>
      </c>
      <c r="S59" s="6" t="s">
        <v>166</v>
      </c>
      <c r="T59" s="6" t="s">
        <v>267</v>
      </c>
      <c r="U59" s="6"/>
      <c r="V59" s="6"/>
      <c r="W59" s="6" t="s">
        <v>345</v>
      </c>
    </row>
    <row r="60" spans="2:41" x14ac:dyDescent="0.5">
      <c r="B60" s="6">
        <v>60</v>
      </c>
      <c r="C60" s="8">
        <v>44657</v>
      </c>
      <c r="D60" s="6" t="s">
        <v>66</v>
      </c>
      <c r="E60" s="6" t="s">
        <v>70</v>
      </c>
      <c r="F60" s="8">
        <v>44650</v>
      </c>
      <c r="G60" s="6" t="s">
        <v>262</v>
      </c>
      <c r="H60" s="6" t="s">
        <v>278</v>
      </c>
      <c r="I60" s="6" t="s">
        <v>254</v>
      </c>
      <c r="J60" s="8">
        <v>44653</v>
      </c>
      <c r="K60" s="53">
        <v>44774</v>
      </c>
      <c r="L60" s="8">
        <v>44775</v>
      </c>
      <c r="M60" s="8" t="s">
        <v>341</v>
      </c>
      <c r="N60" s="6" t="s">
        <v>269</v>
      </c>
      <c r="O60" s="8" t="s">
        <v>335</v>
      </c>
      <c r="P60" s="6" t="s">
        <v>269</v>
      </c>
      <c r="Q60" s="6" t="s">
        <v>266</v>
      </c>
      <c r="R60" s="6" t="s">
        <v>106</v>
      </c>
      <c r="S60" s="6" t="s">
        <v>149</v>
      </c>
      <c r="T60" s="6" t="s">
        <v>267</v>
      </c>
      <c r="U60" s="6"/>
      <c r="V60" s="6"/>
      <c r="W60" s="6" t="s">
        <v>342</v>
      </c>
    </row>
    <row r="61" spans="2:41" x14ac:dyDescent="0.5">
      <c r="B61" s="6">
        <v>62</v>
      </c>
      <c r="C61" s="8"/>
      <c r="D61" s="6" t="s">
        <v>122</v>
      </c>
      <c r="E61" s="6"/>
      <c r="F61" s="8">
        <v>44647</v>
      </c>
      <c r="G61" s="6" t="s">
        <v>73</v>
      </c>
      <c r="H61" s="6" t="s">
        <v>77</v>
      </c>
      <c r="I61" s="6"/>
      <c r="J61" s="8">
        <v>44654</v>
      </c>
      <c r="K61" s="36">
        <v>44805</v>
      </c>
      <c r="L61" s="8"/>
      <c r="M61" s="8" t="s">
        <v>348</v>
      </c>
      <c r="N61" s="6" t="s">
        <v>301</v>
      </c>
      <c r="O61" s="8" t="s">
        <v>349</v>
      </c>
      <c r="P61" s="6" t="s">
        <v>301</v>
      </c>
      <c r="Q61" s="6" t="s">
        <v>295</v>
      </c>
      <c r="R61" s="6" t="s">
        <v>106</v>
      </c>
      <c r="S61" s="6" t="s">
        <v>169</v>
      </c>
      <c r="T61" s="6" t="s">
        <v>267</v>
      </c>
      <c r="U61" s="6"/>
      <c r="V61" s="6"/>
      <c r="W61" s="6" t="s">
        <v>421</v>
      </c>
    </row>
    <row r="62" spans="2:41" x14ac:dyDescent="0.5">
      <c r="B62" s="6">
        <v>61</v>
      </c>
      <c r="C62" s="8">
        <v>44656</v>
      </c>
      <c r="D62" s="6" t="s">
        <v>68</v>
      </c>
      <c r="E62" s="6" t="s">
        <v>70</v>
      </c>
      <c r="F62" s="8">
        <v>44651</v>
      </c>
      <c r="G62" s="6" t="s">
        <v>61</v>
      </c>
      <c r="H62" s="6" t="s">
        <v>278</v>
      </c>
      <c r="I62" s="6" t="s">
        <v>336</v>
      </c>
      <c r="J62" s="8">
        <v>44656</v>
      </c>
      <c r="K62" s="36">
        <v>44835</v>
      </c>
      <c r="L62" s="8">
        <v>44849</v>
      </c>
      <c r="M62" s="8" t="s">
        <v>355</v>
      </c>
      <c r="N62" s="6" t="s">
        <v>269</v>
      </c>
      <c r="O62" s="8" t="s">
        <v>350</v>
      </c>
      <c r="P62" s="6" t="s">
        <v>301</v>
      </c>
      <c r="Q62" s="6" t="s">
        <v>271</v>
      </c>
      <c r="R62" s="6" t="s">
        <v>106</v>
      </c>
      <c r="S62" s="6" t="s">
        <v>169</v>
      </c>
      <c r="T62" s="6" t="s">
        <v>273</v>
      </c>
      <c r="U62" s="6" t="s">
        <v>283</v>
      </c>
      <c r="V62" s="6"/>
      <c r="W62" s="6" t="s">
        <v>356</v>
      </c>
    </row>
    <row r="63" spans="2:41" x14ac:dyDescent="0.5">
      <c r="B63" s="6">
        <v>64</v>
      </c>
      <c r="C63" s="8">
        <v>44666</v>
      </c>
      <c r="D63" s="6" t="s">
        <v>66</v>
      </c>
      <c r="E63" s="6" t="s">
        <v>52</v>
      </c>
      <c r="F63" s="8">
        <v>44653</v>
      </c>
      <c r="G63" s="6" t="s">
        <v>72</v>
      </c>
      <c r="H63" s="6" t="s">
        <v>77</v>
      </c>
      <c r="I63" s="6"/>
      <c r="J63" s="8">
        <v>44658</v>
      </c>
      <c r="K63" s="36">
        <v>45047</v>
      </c>
      <c r="L63" s="8">
        <v>45068</v>
      </c>
      <c r="M63" s="8" t="s">
        <v>359</v>
      </c>
      <c r="N63" s="6" t="s">
        <v>269</v>
      </c>
      <c r="O63" s="8" t="s">
        <v>360</v>
      </c>
      <c r="P63" s="6" t="s">
        <v>269</v>
      </c>
      <c r="Q63" s="6" t="s">
        <v>332</v>
      </c>
      <c r="R63" s="6" t="s">
        <v>358</v>
      </c>
      <c r="S63" s="6" t="s">
        <v>386</v>
      </c>
      <c r="T63" s="6"/>
      <c r="U63" s="6"/>
      <c r="V63" s="6"/>
      <c r="W63" s="6" t="s">
        <v>420</v>
      </c>
    </row>
    <row r="64" spans="2:41" x14ac:dyDescent="0.5">
      <c r="B64" s="6">
        <v>65</v>
      </c>
      <c r="C64" s="8"/>
      <c r="D64" s="6" t="s">
        <v>122</v>
      </c>
      <c r="E64" s="6" t="s">
        <v>52</v>
      </c>
      <c r="F64" s="8">
        <v>44657</v>
      </c>
      <c r="G64" s="6" t="s">
        <v>61</v>
      </c>
      <c r="H64" s="6" t="s">
        <v>278</v>
      </c>
      <c r="I64" s="6" t="s">
        <v>79</v>
      </c>
      <c r="J64" s="8">
        <v>44660</v>
      </c>
      <c r="K64" s="36"/>
      <c r="L64" s="8"/>
      <c r="M64" s="8" t="s">
        <v>361</v>
      </c>
      <c r="N64" s="6" t="s">
        <v>353</v>
      </c>
      <c r="O64" s="8" t="s">
        <v>352</v>
      </c>
      <c r="P64" s="6" t="s">
        <v>353</v>
      </c>
      <c r="Q64" s="6" t="s">
        <v>332</v>
      </c>
      <c r="R64" s="6"/>
      <c r="S64" s="6"/>
      <c r="T64" s="6"/>
      <c r="U64" s="6"/>
      <c r="V64" s="6"/>
      <c r="W64" s="6" t="s">
        <v>362</v>
      </c>
    </row>
    <row r="65" spans="2:23" x14ac:dyDescent="0.5">
      <c r="B65" s="6">
        <v>66</v>
      </c>
      <c r="C65" s="8"/>
      <c r="D65" s="6" t="s">
        <v>118</v>
      </c>
      <c r="E65" s="6" t="s">
        <v>52</v>
      </c>
      <c r="F65" s="8">
        <v>44657</v>
      </c>
      <c r="G65" s="6" t="s">
        <v>61</v>
      </c>
      <c r="H65" s="6" t="s">
        <v>278</v>
      </c>
      <c r="I65" s="6" t="s">
        <v>79</v>
      </c>
      <c r="J65" s="8">
        <v>44660</v>
      </c>
      <c r="K65" s="36">
        <v>44805</v>
      </c>
      <c r="L65" s="8">
        <v>44829</v>
      </c>
      <c r="M65" s="8" t="s">
        <v>351</v>
      </c>
      <c r="N65" s="6" t="s">
        <v>318</v>
      </c>
      <c r="O65" s="8" t="s">
        <v>364</v>
      </c>
      <c r="P65" s="6" t="s">
        <v>275</v>
      </c>
      <c r="Q65" s="6" t="s">
        <v>266</v>
      </c>
      <c r="R65" s="6" t="s">
        <v>106</v>
      </c>
      <c r="S65" s="6"/>
      <c r="T65" s="6" t="s">
        <v>286</v>
      </c>
      <c r="U65" s="6" t="s">
        <v>274</v>
      </c>
      <c r="V65" s="6"/>
      <c r="W65" s="6" t="s">
        <v>365</v>
      </c>
    </row>
    <row r="66" spans="2:23" x14ac:dyDescent="0.5">
      <c r="B66" s="6">
        <v>67</v>
      </c>
      <c r="C66" s="8"/>
      <c r="D66" s="6" t="s">
        <v>261</v>
      </c>
      <c r="E66" s="6" t="s">
        <v>52</v>
      </c>
      <c r="F66" s="8">
        <v>44654</v>
      </c>
      <c r="G66" s="6" t="s">
        <v>61</v>
      </c>
      <c r="H66" s="6" t="s">
        <v>278</v>
      </c>
      <c r="I66" s="6" t="s">
        <v>338</v>
      </c>
      <c r="J66" s="8">
        <v>44661</v>
      </c>
      <c r="K66" s="36">
        <v>44835</v>
      </c>
      <c r="L66" s="8">
        <v>44850</v>
      </c>
      <c r="M66" s="8" t="s">
        <v>366</v>
      </c>
      <c r="N66" s="6" t="s">
        <v>269</v>
      </c>
      <c r="O66" s="8" t="s">
        <v>354</v>
      </c>
      <c r="P66" s="6" t="s">
        <v>269</v>
      </c>
      <c r="Q66" s="6" t="s">
        <v>295</v>
      </c>
      <c r="R66" s="6" t="s">
        <v>272</v>
      </c>
      <c r="S66" s="6" t="s">
        <v>169</v>
      </c>
      <c r="T66" s="6" t="s">
        <v>267</v>
      </c>
      <c r="U66" s="6" t="s">
        <v>139</v>
      </c>
      <c r="V66" s="6"/>
      <c r="W66" s="6" t="s">
        <v>375</v>
      </c>
    </row>
    <row r="67" spans="2:23" x14ac:dyDescent="0.5">
      <c r="B67" s="6">
        <v>69</v>
      </c>
      <c r="C67" s="8"/>
      <c r="D67" s="6" t="s">
        <v>122</v>
      </c>
      <c r="E67" s="6"/>
      <c r="F67" s="8">
        <v>44661</v>
      </c>
      <c r="G67" s="6" t="s">
        <v>281</v>
      </c>
      <c r="H67" s="6" t="s">
        <v>77</v>
      </c>
      <c r="I67" s="6"/>
      <c r="J67" s="8">
        <v>44661</v>
      </c>
      <c r="K67" s="36"/>
      <c r="L67" s="8"/>
      <c r="M67" s="8" t="s">
        <v>367</v>
      </c>
      <c r="N67" s="6" t="s">
        <v>269</v>
      </c>
      <c r="O67" s="8" t="s">
        <v>368</v>
      </c>
      <c r="P67" s="6" t="s">
        <v>269</v>
      </c>
      <c r="Q67" s="6" t="s">
        <v>295</v>
      </c>
      <c r="R67" s="6" t="s">
        <v>106</v>
      </c>
      <c r="S67" s="6"/>
      <c r="T67" s="6"/>
      <c r="U67" s="6"/>
      <c r="V67" s="6"/>
      <c r="W67" s="6" t="s">
        <v>422</v>
      </c>
    </row>
    <row r="68" spans="2:23" x14ac:dyDescent="0.5">
      <c r="B68" s="6">
        <v>55</v>
      </c>
      <c r="C68" s="8"/>
      <c r="D68" s="6" t="s">
        <v>118</v>
      </c>
      <c r="E68" s="6" t="s">
        <v>70</v>
      </c>
      <c r="F68" s="8">
        <v>44641</v>
      </c>
      <c r="G68" s="6" t="s">
        <v>255</v>
      </c>
      <c r="H68" s="6" t="s">
        <v>77</v>
      </c>
      <c r="I68" s="6"/>
      <c r="J68" s="8">
        <v>44662</v>
      </c>
      <c r="K68" s="36">
        <v>45200</v>
      </c>
      <c r="L68" s="8">
        <v>45207</v>
      </c>
      <c r="M68" s="8" t="s">
        <v>370</v>
      </c>
      <c r="N68" s="6" t="s">
        <v>275</v>
      </c>
      <c r="O68" s="8" t="s">
        <v>371</v>
      </c>
      <c r="P68" s="6" t="s">
        <v>269</v>
      </c>
      <c r="Q68" s="6" t="s">
        <v>295</v>
      </c>
      <c r="R68" s="6" t="s">
        <v>106</v>
      </c>
      <c r="S68" s="6" t="s">
        <v>149</v>
      </c>
      <c r="T68" s="6" t="s">
        <v>267</v>
      </c>
      <c r="U68" s="6" t="s">
        <v>274</v>
      </c>
      <c r="V68" s="6"/>
      <c r="W68" s="6" t="s">
        <v>562</v>
      </c>
    </row>
    <row r="69" spans="2:23" x14ac:dyDescent="0.5">
      <c r="B69" s="6">
        <v>58</v>
      </c>
      <c r="C69" s="8">
        <v>44663</v>
      </c>
      <c r="D69" s="6" t="s">
        <v>393</v>
      </c>
      <c r="E69" s="6" t="s">
        <v>52</v>
      </c>
      <c r="F69" s="8">
        <v>44648</v>
      </c>
      <c r="G69" s="6" t="s">
        <v>73</v>
      </c>
      <c r="H69" s="6" t="s">
        <v>77</v>
      </c>
      <c r="I69" s="6"/>
      <c r="J69" s="8">
        <v>44663</v>
      </c>
      <c r="K69" s="36">
        <v>44866</v>
      </c>
      <c r="L69" s="8">
        <v>44871</v>
      </c>
      <c r="M69" s="8" t="s">
        <v>372</v>
      </c>
      <c r="N69" s="6" t="s">
        <v>275</v>
      </c>
      <c r="O69" s="8" t="s">
        <v>373</v>
      </c>
      <c r="P69" s="6" t="s">
        <v>275</v>
      </c>
      <c r="Q69" s="6" t="s">
        <v>374</v>
      </c>
      <c r="R69" s="6" t="s">
        <v>272</v>
      </c>
      <c r="S69" s="6" t="s">
        <v>169</v>
      </c>
      <c r="T69" s="6" t="s">
        <v>267</v>
      </c>
      <c r="U69" s="6"/>
      <c r="V69" s="6"/>
      <c r="W69" s="6" t="s">
        <v>558</v>
      </c>
    </row>
    <row r="70" spans="2:23" x14ac:dyDescent="0.5">
      <c r="B70" s="6">
        <v>68</v>
      </c>
      <c r="C70" s="8">
        <v>44671</v>
      </c>
      <c r="D70" s="6" t="s">
        <v>66</v>
      </c>
      <c r="E70" s="6" t="s">
        <v>52</v>
      </c>
      <c r="F70" s="8">
        <v>44660</v>
      </c>
      <c r="G70" s="6" t="s">
        <v>61</v>
      </c>
      <c r="H70" s="6" t="s">
        <v>278</v>
      </c>
      <c r="I70" s="6" t="s">
        <v>79</v>
      </c>
      <c r="J70" s="8">
        <v>44667</v>
      </c>
      <c r="K70" s="36">
        <v>44835</v>
      </c>
      <c r="L70" s="8">
        <v>44836</v>
      </c>
      <c r="M70" s="8" t="s">
        <v>377</v>
      </c>
      <c r="N70" s="6" t="s">
        <v>269</v>
      </c>
      <c r="O70" s="8" t="s">
        <v>363</v>
      </c>
      <c r="P70" s="6" t="s">
        <v>269</v>
      </c>
      <c r="Q70" s="6" t="s">
        <v>271</v>
      </c>
      <c r="R70" s="6" t="s">
        <v>107</v>
      </c>
      <c r="S70" s="6" t="s">
        <v>169</v>
      </c>
      <c r="T70" s="6" t="s">
        <v>267</v>
      </c>
      <c r="U70" s="6" t="s">
        <v>378</v>
      </c>
      <c r="V70" s="6"/>
      <c r="W70" s="6" t="s">
        <v>379</v>
      </c>
    </row>
    <row r="71" spans="2:23" x14ac:dyDescent="0.5">
      <c r="B71" s="6">
        <v>70</v>
      </c>
      <c r="C71" s="8">
        <v>44674</v>
      </c>
      <c r="D71" s="6" t="s">
        <v>66</v>
      </c>
      <c r="E71" s="6" t="s">
        <v>52</v>
      </c>
      <c r="F71" s="8">
        <v>44661</v>
      </c>
      <c r="G71" s="6" t="s">
        <v>61</v>
      </c>
      <c r="H71" s="6" t="s">
        <v>278</v>
      </c>
      <c r="I71" s="6" t="s">
        <v>336</v>
      </c>
      <c r="J71" s="8">
        <v>44668</v>
      </c>
      <c r="K71" s="36">
        <v>44774</v>
      </c>
      <c r="L71" s="8">
        <v>44803</v>
      </c>
      <c r="M71" s="8" t="s">
        <v>380</v>
      </c>
      <c r="N71" s="6" t="s">
        <v>269</v>
      </c>
      <c r="O71" s="8" t="s">
        <v>369</v>
      </c>
      <c r="P71" s="6" t="s">
        <v>269</v>
      </c>
      <c r="Q71" s="6" t="s">
        <v>266</v>
      </c>
      <c r="R71" s="6" t="s">
        <v>107</v>
      </c>
      <c r="S71" s="6" t="s">
        <v>166</v>
      </c>
      <c r="T71" s="6" t="s">
        <v>381</v>
      </c>
      <c r="U71" s="6" t="s">
        <v>378</v>
      </c>
      <c r="V71" s="6"/>
      <c r="W71" s="6" t="s">
        <v>382</v>
      </c>
    </row>
    <row r="72" spans="2:23" x14ac:dyDescent="0.5">
      <c r="B72" s="6">
        <v>71</v>
      </c>
      <c r="C72" s="8">
        <v>44670</v>
      </c>
      <c r="D72" s="6" t="s">
        <v>68</v>
      </c>
      <c r="E72" s="6" t="s">
        <v>70</v>
      </c>
      <c r="F72" s="8">
        <v>44663</v>
      </c>
      <c r="G72" s="6" t="s">
        <v>5</v>
      </c>
      <c r="H72" s="6" t="s">
        <v>77</v>
      </c>
      <c r="I72" s="6"/>
      <c r="J72" s="8">
        <v>44670</v>
      </c>
      <c r="K72" s="36">
        <v>44805</v>
      </c>
      <c r="L72" s="8">
        <v>44829</v>
      </c>
      <c r="M72" s="8" t="s">
        <v>383</v>
      </c>
      <c r="N72" s="6" t="s">
        <v>318</v>
      </c>
      <c r="O72" s="8" t="s">
        <v>384</v>
      </c>
      <c r="P72" s="6" t="s">
        <v>275</v>
      </c>
      <c r="Q72" s="6" t="s">
        <v>374</v>
      </c>
      <c r="R72" s="6" t="s">
        <v>272</v>
      </c>
      <c r="S72" s="6" t="s">
        <v>169</v>
      </c>
      <c r="T72" s="6" t="s">
        <v>267</v>
      </c>
      <c r="U72" s="6"/>
      <c r="V72" s="6"/>
      <c r="W72" s="6" t="s">
        <v>385</v>
      </c>
    </row>
    <row r="73" spans="2:23" x14ac:dyDescent="0.5">
      <c r="B73" s="6">
        <v>72</v>
      </c>
      <c r="C73" s="8"/>
      <c r="D73" s="6" t="s">
        <v>393</v>
      </c>
      <c r="E73" s="6" t="s">
        <v>52</v>
      </c>
      <c r="F73" s="8">
        <v>44674</v>
      </c>
      <c r="G73" s="6" t="s">
        <v>72</v>
      </c>
      <c r="H73" s="6" t="s">
        <v>77</v>
      </c>
      <c r="I73" s="6"/>
      <c r="J73" s="8">
        <v>44674</v>
      </c>
      <c r="K73" s="36">
        <v>44682</v>
      </c>
      <c r="L73" s="8">
        <v>44685</v>
      </c>
      <c r="M73" s="8" t="s">
        <v>390</v>
      </c>
      <c r="N73" s="6"/>
      <c r="O73" s="8" t="s">
        <v>391</v>
      </c>
      <c r="P73" s="6"/>
      <c r="Q73" s="6" t="s">
        <v>332</v>
      </c>
      <c r="R73" s="6"/>
      <c r="S73" s="6"/>
      <c r="T73" s="6"/>
      <c r="U73" s="6"/>
      <c r="V73" s="6"/>
      <c r="W73" s="6" t="s">
        <v>392</v>
      </c>
    </row>
    <row r="74" spans="2:23" x14ac:dyDescent="0.5">
      <c r="B74" s="6">
        <v>73</v>
      </c>
      <c r="C74" s="8">
        <v>44688</v>
      </c>
      <c r="D74" s="6" t="s">
        <v>67</v>
      </c>
      <c r="E74" s="6" t="s">
        <v>52</v>
      </c>
      <c r="F74" s="8">
        <v>44677</v>
      </c>
      <c r="G74" s="6" t="s">
        <v>72</v>
      </c>
      <c r="H74" s="6" t="s">
        <v>77</v>
      </c>
      <c r="I74" s="6"/>
      <c r="J74" s="8">
        <v>44680</v>
      </c>
      <c r="K74" s="36">
        <v>44835</v>
      </c>
      <c r="L74" s="8">
        <v>44850</v>
      </c>
      <c r="M74" s="8" t="s">
        <v>395</v>
      </c>
      <c r="N74" s="6" t="s">
        <v>275</v>
      </c>
      <c r="O74" s="57" t="s">
        <v>396</v>
      </c>
      <c r="P74" s="6" t="s">
        <v>269</v>
      </c>
      <c r="Q74" s="6" t="s">
        <v>295</v>
      </c>
      <c r="R74" s="6" t="s">
        <v>397</v>
      </c>
      <c r="S74" s="6" t="s">
        <v>169</v>
      </c>
      <c r="T74" s="6" t="s">
        <v>381</v>
      </c>
      <c r="U74" s="6" t="s">
        <v>144</v>
      </c>
      <c r="V74" s="6" t="s">
        <v>145</v>
      </c>
      <c r="W74" s="6" t="s">
        <v>398</v>
      </c>
    </row>
    <row r="75" spans="2:23" x14ac:dyDescent="0.5">
      <c r="B75" s="6">
        <v>75</v>
      </c>
      <c r="C75" s="8"/>
      <c r="D75" s="6" t="s">
        <v>118</v>
      </c>
      <c r="E75" s="6" t="s">
        <v>70</v>
      </c>
      <c r="F75" s="8">
        <v>44674</v>
      </c>
      <c r="G75" s="6" t="s">
        <v>258</v>
      </c>
      <c r="H75" s="6" t="s">
        <v>77</v>
      </c>
      <c r="I75" s="6"/>
      <c r="J75" s="8">
        <v>44681</v>
      </c>
      <c r="K75" s="36">
        <v>45078</v>
      </c>
      <c r="L75" s="8"/>
      <c r="M75" s="8" t="s">
        <v>399</v>
      </c>
      <c r="N75" s="6" t="s">
        <v>301</v>
      </c>
      <c r="O75" s="8" t="s">
        <v>400</v>
      </c>
      <c r="P75" s="6" t="s">
        <v>301</v>
      </c>
      <c r="Q75" s="6" t="s">
        <v>401</v>
      </c>
      <c r="R75" s="6" t="s">
        <v>397</v>
      </c>
      <c r="S75" s="6" t="s">
        <v>169</v>
      </c>
      <c r="T75" s="6" t="s">
        <v>273</v>
      </c>
      <c r="U75" s="6" t="s">
        <v>133</v>
      </c>
      <c r="V75" s="6"/>
      <c r="W75" s="6" t="s">
        <v>402</v>
      </c>
    </row>
    <row r="76" spans="2:23" x14ac:dyDescent="0.5">
      <c r="B76" s="6">
        <v>76</v>
      </c>
      <c r="C76" s="8"/>
      <c r="D76" s="6" t="s">
        <v>118</v>
      </c>
      <c r="E76" s="6" t="s">
        <v>70</v>
      </c>
      <c r="F76" s="8">
        <v>44674</v>
      </c>
      <c r="G76" s="6" t="s">
        <v>72</v>
      </c>
      <c r="H76" s="6" t="s">
        <v>77</v>
      </c>
      <c r="I76" s="6"/>
      <c r="J76" s="8">
        <v>44682</v>
      </c>
      <c r="K76" s="36">
        <v>44835</v>
      </c>
      <c r="L76" s="8"/>
      <c r="M76" s="8" t="s">
        <v>404</v>
      </c>
      <c r="N76" s="6" t="s">
        <v>275</v>
      </c>
      <c r="O76" s="8" t="s">
        <v>405</v>
      </c>
      <c r="P76" s="6" t="s">
        <v>269</v>
      </c>
      <c r="Q76" s="6" t="s">
        <v>320</v>
      </c>
      <c r="R76" s="6" t="s">
        <v>397</v>
      </c>
      <c r="S76" s="6" t="s">
        <v>169</v>
      </c>
      <c r="T76" s="6" t="s">
        <v>267</v>
      </c>
      <c r="U76" s="6" t="s">
        <v>406</v>
      </c>
      <c r="V76" s="6" t="s">
        <v>281</v>
      </c>
      <c r="W76" s="6" t="s">
        <v>407</v>
      </c>
    </row>
    <row r="77" spans="2:23" x14ac:dyDescent="0.5">
      <c r="B77" s="6">
        <v>57</v>
      </c>
      <c r="C77" s="8">
        <v>44738</v>
      </c>
      <c r="D77" s="6" t="s">
        <v>67</v>
      </c>
      <c r="E77" s="6" t="s">
        <v>52</v>
      </c>
      <c r="F77" s="8">
        <v>44647</v>
      </c>
      <c r="G77" s="6" t="s">
        <v>61</v>
      </c>
      <c r="H77" s="6" t="s">
        <v>65</v>
      </c>
      <c r="I77" s="6"/>
      <c r="J77" s="8">
        <v>44684</v>
      </c>
      <c r="K77" s="36">
        <v>45047</v>
      </c>
      <c r="L77" s="8">
        <v>45048</v>
      </c>
      <c r="M77" s="8" t="s">
        <v>409</v>
      </c>
      <c r="N77" s="6" t="s">
        <v>301</v>
      </c>
      <c r="O77" s="8" t="s">
        <v>540</v>
      </c>
      <c r="P77" s="6" t="s">
        <v>301</v>
      </c>
      <c r="Q77" s="6" t="s">
        <v>266</v>
      </c>
      <c r="R77" s="6" t="s">
        <v>106</v>
      </c>
      <c r="S77" s="6" t="s">
        <v>386</v>
      </c>
      <c r="T77" s="6" t="s">
        <v>267</v>
      </c>
      <c r="U77" s="6"/>
      <c r="V77" s="6"/>
      <c r="W77" s="6" t="s">
        <v>470</v>
      </c>
    </row>
    <row r="78" spans="2:23" x14ac:dyDescent="0.5">
      <c r="B78" s="6">
        <v>63</v>
      </c>
      <c r="C78" s="8">
        <v>44724</v>
      </c>
      <c r="D78" s="6" t="s">
        <v>66</v>
      </c>
      <c r="E78" s="6" t="s">
        <v>70</v>
      </c>
      <c r="F78" s="8">
        <v>44653</v>
      </c>
      <c r="G78" s="6" t="s">
        <v>61</v>
      </c>
      <c r="H78" s="6" t="s">
        <v>77</v>
      </c>
      <c r="I78" s="6"/>
      <c r="J78" s="8">
        <v>44684</v>
      </c>
      <c r="K78" s="36">
        <v>45047</v>
      </c>
      <c r="L78" s="8">
        <v>45050</v>
      </c>
      <c r="M78" s="8" t="s">
        <v>340</v>
      </c>
      <c r="N78" s="6" t="s">
        <v>269</v>
      </c>
      <c r="O78" s="8" t="s">
        <v>410</v>
      </c>
      <c r="P78" s="6" t="s">
        <v>269</v>
      </c>
      <c r="Q78" s="6" t="s">
        <v>295</v>
      </c>
      <c r="R78" s="6" t="s">
        <v>272</v>
      </c>
      <c r="S78" s="6" t="s">
        <v>169</v>
      </c>
      <c r="T78" s="6" t="s">
        <v>267</v>
      </c>
      <c r="U78" s="6" t="s">
        <v>145</v>
      </c>
      <c r="V78" s="6" t="s">
        <v>411</v>
      </c>
      <c r="W78" s="6" t="s">
        <v>458</v>
      </c>
    </row>
    <row r="79" spans="2:23" x14ac:dyDescent="0.5">
      <c r="B79" s="6">
        <v>77</v>
      </c>
      <c r="C79" s="8"/>
      <c r="D79" s="6" t="s">
        <v>261</v>
      </c>
      <c r="E79" s="6" t="s">
        <v>71</v>
      </c>
      <c r="F79" s="8">
        <v>44678</v>
      </c>
      <c r="G79" s="6" t="s">
        <v>61</v>
      </c>
      <c r="H79" s="6" t="s">
        <v>278</v>
      </c>
      <c r="I79" s="6" t="s">
        <v>254</v>
      </c>
      <c r="J79" s="8">
        <v>44685</v>
      </c>
      <c r="K79" s="36">
        <v>44866</v>
      </c>
      <c r="L79" s="8">
        <v>44884</v>
      </c>
      <c r="M79" s="58" t="s">
        <v>414</v>
      </c>
      <c r="N79" s="6" t="s">
        <v>269</v>
      </c>
      <c r="O79" s="8" t="s">
        <v>415</v>
      </c>
      <c r="P79" s="6" t="s">
        <v>269</v>
      </c>
      <c r="Q79" s="6" t="s">
        <v>271</v>
      </c>
      <c r="R79" s="6" t="s">
        <v>285</v>
      </c>
      <c r="S79" s="6" t="s">
        <v>169</v>
      </c>
      <c r="T79" s="6" t="s">
        <v>267</v>
      </c>
      <c r="U79" s="6" t="s">
        <v>274</v>
      </c>
      <c r="V79" s="6"/>
      <c r="W79" s="6" t="s">
        <v>629</v>
      </c>
    </row>
    <row r="80" spans="2:23" x14ac:dyDescent="0.5">
      <c r="B80" s="6">
        <v>79</v>
      </c>
      <c r="C80" s="8">
        <v>44692</v>
      </c>
      <c r="D80" s="6" t="s">
        <v>66</v>
      </c>
      <c r="E80" s="6" t="s">
        <v>70</v>
      </c>
      <c r="F80" s="8">
        <v>44681</v>
      </c>
      <c r="G80" s="6" t="s">
        <v>61</v>
      </c>
      <c r="H80" s="6" t="s">
        <v>278</v>
      </c>
      <c r="I80" s="6" t="s">
        <v>254</v>
      </c>
      <c r="J80" s="8">
        <v>44685</v>
      </c>
      <c r="K80" s="36">
        <v>45017</v>
      </c>
      <c r="L80" s="8">
        <v>45038</v>
      </c>
      <c r="M80" s="8" t="s">
        <v>403</v>
      </c>
      <c r="N80" s="6" t="s">
        <v>275</v>
      </c>
      <c r="O80" s="8" t="s">
        <v>412</v>
      </c>
      <c r="P80" s="6" t="s">
        <v>275</v>
      </c>
      <c r="Q80" s="6" t="s">
        <v>328</v>
      </c>
      <c r="R80" s="6" t="s">
        <v>272</v>
      </c>
      <c r="S80" s="6" t="s">
        <v>169</v>
      </c>
      <c r="T80" s="6" t="s">
        <v>267</v>
      </c>
      <c r="U80" s="6"/>
      <c r="V80" s="6"/>
      <c r="W80" s="6" t="s">
        <v>413</v>
      </c>
    </row>
    <row r="81" spans="1:23" x14ac:dyDescent="0.5">
      <c r="B81" s="65">
        <v>78</v>
      </c>
      <c r="C81" s="64"/>
      <c r="D81" s="65" t="s">
        <v>118</v>
      </c>
      <c r="E81" s="65" t="s">
        <v>70</v>
      </c>
      <c r="F81" s="64">
        <v>44674</v>
      </c>
      <c r="G81" s="65" t="s">
        <v>258</v>
      </c>
      <c r="H81" s="65" t="s">
        <v>77</v>
      </c>
      <c r="I81" s="65" t="s">
        <v>254</v>
      </c>
      <c r="J81" s="64">
        <v>44689</v>
      </c>
      <c r="K81" s="66">
        <v>44866</v>
      </c>
      <c r="L81" s="64"/>
      <c r="M81" s="64" t="s">
        <v>418</v>
      </c>
      <c r="N81" s="65" t="s">
        <v>269</v>
      </c>
      <c r="O81" s="64" t="s">
        <v>419</v>
      </c>
      <c r="P81" s="65" t="s">
        <v>269</v>
      </c>
      <c r="Q81" s="65" t="s">
        <v>271</v>
      </c>
      <c r="R81" s="65" t="s">
        <v>107</v>
      </c>
      <c r="S81" s="65" t="s">
        <v>169</v>
      </c>
      <c r="T81" s="65" t="s">
        <v>267</v>
      </c>
      <c r="U81" s="65" t="s">
        <v>378</v>
      </c>
      <c r="V81" s="65" t="s">
        <v>406</v>
      </c>
      <c r="W81" s="65" t="s">
        <v>441</v>
      </c>
    </row>
    <row r="82" spans="1:23" x14ac:dyDescent="0.5">
      <c r="B82" s="6">
        <v>74</v>
      </c>
      <c r="C82" s="8">
        <v>44702</v>
      </c>
      <c r="D82" s="6" t="s">
        <v>66</v>
      </c>
      <c r="E82" s="6" t="s">
        <v>70</v>
      </c>
      <c r="F82" s="8">
        <v>44676</v>
      </c>
      <c r="G82" s="6" t="s">
        <v>73</v>
      </c>
      <c r="H82" s="6" t="s">
        <v>77</v>
      </c>
      <c r="I82" s="6"/>
      <c r="J82" s="8">
        <v>44695</v>
      </c>
      <c r="K82" s="36">
        <v>44866</v>
      </c>
      <c r="L82" s="8">
        <v>44868</v>
      </c>
      <c r="M82" s="8" t="s">
        <v>424</v>
      </c>
      <c r="N82" s="6" t="s">
        <v>301</v>
      </c>
      <c r="O82" s="8" t="s">
        <v>425</v>
      </c>
      <c r="P82" s="6" t="s">
        <v>301</v>
      </c>
      <c r="Q82" s="6" t="s">
        <v>295</v>
      </c>
      <c r="R82" s="6" t="s">
        <v>106</v>
      </c>
      <c r="S82" s="6" t="s">
        <v>169</v>
      </c>
      <c r="T82" s="6" t="s">
        <v>267</v>
      </c>
      <c r="U82" s="6"/>
      <c r="V82" s="6"/>
      <c r="W82" s="6" t="s">
        <v>426</v>
      </c>
    </row>
    <row r="83" spans="1:23" x14ac:dyDescent="0.5">
      <c r="B83" s="6">
        <v>80</v>
      </c>
      <c r="C83" s="8"/>
      <c r="D83" s="6"/>
      <c r="E83" s="6"/>
      <c r="F83" s="8">
        <v>44687</v>
      </c>
      <c r="G83" s="6" t="s">
        <v>61</v>
      </c>
      <c r="H83" s="6" t="s">
        <v>65</v>
      </c>
      <c r="I83" s="6"/>
      <c r="J83" s="8"/>
      <c r="K83" s="36"/>
      <c r="L83" s="8"/>
      <c r="M83" s="8" t="s">
        <v>416</v>
      </c>
      <c r="N83" s="6"/>
      <c r="O83" s="8"/>
      <c r="P83" s="6"/>
      <c r="Q83" s="6"/>
      <c r="R83" s="6"/>
      <c r="S83" s="6"/>
      <c r="T83" s="6"/>
      <c r="U83" s="6"/>
      <c r="V83" s="6"/>
      <c r="W83" s="6" t="s">
        <v>417</v>
      </c>
    </row>
    <row r="84" spans="1:23" x14ac:dyDescent="0.5">
      <c r="B84" s="6">
        <v>81</v>
      </c>
      <c r="C84" s="8">
        <v>44705</v>
      </c>
      <c r="D84" s="6" t="s">
        <v>67</v>
      </c>
      <c r="E84" s="6" t="s">
        <v>71</v>
      </c>
      <c r="F84" s="8">
        <v>44696</v>
      </c>
      <c r="G84" s="6" t="s">
        <v>281</v>
      </c>
      <c r="H84" s="6" t="s">
        <v>77</v>
      </c>
      <c r="I84" s="6"/>
      <c r="J84" s="8">
        <v>44696</v>
      </c>
      <c r="K84" s="36">
        <v>44774</v>
      </c>
      <c r="L84" s="8">
        <v>44787</v>
      </c>
      <c r="M84" s="8" t="s">
        <v>427</v>
      </c>
      <c r="N84" s="6" t="s">
        <v>316</v>
      </c>
      <c r="O84" s="8" t="s">
        <v>428</v>
      </c>
      <c r="P84" s="6" t="s">
        <v>318</v>
      </c>
      <c r="Q84" s="6" t="s">
        <v>266</v>
      </c>
      <c r="R84" s="6" t="s">
        <v>106</v>
      </c>
      <c r="S84" s="6" t="s">
        <v>166</v>
      </c>
      <c r="T84" s="6" t="s">
        <v>267</v>
      </c>
      <c r="U84" s="6"/>
      <c r="V84" s="6"/>
      <c r="W84" s="6" t="s">
        <v>429</v>
      </c>
    </row>
    <row r="85" spans="1:23" x14ac:dyDescent="0.5">
      <c r="B85" s="6">
        <v>82</v>
      </c>
      <c r="C85" s="8">
        <v>44696</v>
      </c>
      <c r="D85" s="6" t="s">
        <v>68</v>
      </c>
      <c r="E85" s="6" t="s">
        <v>52</v>
      </c>
      <c r="F85" s="8">
        <v>44693</v>
      </c>
      <c r="G85" s="6" t="s">
        <v>61</v>
      </c>
      <c r="H85" s="6" t="s">
        <v>278</v>
      </c>
      <c r="I85" s="6" t="s">
        <v>337</v>
      </c>
      <c r="J85" s="8">
        <v>44696</v>
      </c>
      <c r="K85" s="36">
        <v>44805</v>
      </c>
      <c r="L85" s="8">
        <v>44831</v>
      </c>
      <c r="M85" s="8" t="s">
        <v>430</v>
      </c>
      <c r="N85" s="6" t="s">
        <v>275</v>
      </c>
      <c r="O85" s="8" t="s">
        <v>431</v>
      </c>
      <c r="P85" s="6" t="s">
        <v>269</v>
      </c>
      <c r="Q85" s="6" t="s">
        <v>332</v>
      </c>
      <c r="R85" s="6" t="s">
        <v>106</v>
      </c>
      <c r="S85" s="6" t="s">
        <v>386</v>
      </c>
      <c r="T85" s="6" t="s">
        <v>267</v>
      </c>
      <c r="U85" s="6"/>
      <c r="V85" s="6"/>
      <c r="W85" s="6" t="s">
        <v>432</v>
      </c>
    </row>
    <row r="86" spans="1:23" x14ac:dyDescent="0.5">
      <c r="A86" t="s">
        <v>681</v>
      </c>
      <c r="B86" s="6">
        <v>85</v>
      </c>
      <c r="C86" s="8">
        <v>44853</v>
      </c>
      <c r="D86" s="6" t="s">
        <v>67</v>
      </c>
      <c r="E86" s="6" t="s">
        <v>71</v>
      </c>
      <c r="F86" s="8">
        <v>44695</v>
      </c>
      <c r="G86" s="6" t="s">
        <v>61</v>
      </c>
      <c r="H86" s="6" t="s">
        <v>278</v>
      </c>
      <c r="I86" s="6" t="s">
        <v>254</v>
      </c>
      <c r="J86" s="8">
        <v>44699</v>
      </c>
      <c r="K86" s="36">
        <v>45200</v>
      </c>
      <c r="L86" s="8">
        <v>45205</v>
      </c>
      <c r="M86" s="8" t="s">
        <v>434</v>
      </c>
      <c r="N86" s="6" t="s">
        <v>269</v>
      </c>
      <c r="O86" s="8" t="s">
        <v>435</v>
      </c>
      <c r="P86" s="6" t="s">
        <v>269</v>
      </c>
      <c r="Q86" s="6" t="s">
        <v>295</v>
      </c>
      <c r="R86" s="6" t="s">
        <v>106</v>
      </c>
      <c r="S86" s="6" t="s">
        <v>169</v>
      </c>
      <c r="T86" s="6" t="s">
        <v>267</v>
      </c>
      <c r="U86" s="6"/>
      <c r="V86" s="6"/>
      <c r="W86" s="6" t="s">
        <v>623</v>
      </c>
    </row>
    <row r="87" spans="1:23" x14ac:dyDescent="0.5">
      <c r="B87" s="6">
        <v>88</v>
      </c>
      <c r="C87" s="8"/>
      <c r="D87" s="6" t="s">
        <v>261</v>
      </c>
      <c r="E87" s="6" t="s">
        <v>52</v>
      </c>
      <c r="F87" s="8">
        <v>44692</v>
      </c>
      <c r="G87" s="6" t="s">
        <v>61</v>
      </c>
      <c r="H87" s="6" t="s">
        <v>278</v>
      </c>
      <c r="I87" s="6" t="s">
        <v>254</v>
      </c>
      <c r="J87" s="8">
        <v>44702</v>
      </c>
      <c r="K87" s="36">
        <v>45047</v>
      </c>
      <c r="L87" s="8">
        <v>45073</v>
      </c>
      <c r="M87" s="8" t="s">
        <v>438</v>
      </c>
      <c r="N87" s="6" t="s">
        <v>275</v>
      </c>
      <c r="O87" s="8" t="s">
        <v>439</v>
      </c>
      <c r="P87" s="6" t="s">
        <v>275</v>
      </c>
      <c r="Q87" s="6" t="s">
        <v>328</v>
      </c>
      <c r="R87" s="6" t="s">
        <v>397</v>
      </c>
      <c r="S87" s="6" t="s">
        <v>169</v>
      </c>
      <c r="T87" s="6" t="s">
        <v>155</v>
      </c>
      <c r="U87" s="6" t="s">
        <v>406</v>
      </c>
      <c r="V87" s="6" t="s">
        <v>440</v>
      </c>
      <c r="W87" s="6" t="s">
        <v>476</v>
      </c>
    </row>
    <row r="88" spans="1:23" x14ac:dyDescent="0.5">
      <c r="B88" s="6">
        <v>84</v>
      </c>
      <c r="C88" s="8"/>
      <c r="D88" s="6" t="s">
        <v>261</v>
      </c>
      <c r="E88" s="6" t="s">
        <v>70</v>
      </c>
      <c r="F88" s="8">
        <v>44697</v>
      </c>
      <c r="G88" s="6" t="s">
        <v>61</v>
      </c>
      <c r="H88" s="6" t="s">
        <v>278</v>
      </c>
      <c r="I88" s="6" t="s">
        <v>79</v>
      </c>
      <c r="J88" s="8">
        <v>44703</v>
      </c>
      <c r="K88" s="36">
        <v>44774</v>
      </c>
      <c r="L88" s="8">
        <v>44800</v>
      </c>
      <c r="M88" s="8" t="s">
        <v>442</v>
      </c>
      <c r="N88" s="6" t="s">
        <v>269</v>
      </c>
      <c r="O88" s="8" t="s">
        <v>433</v>
      </c>
      <c r="P88" s="6" t="s">
        <v>269</v>
      </c>
      <c r="Q88" s="6" t="s">
        <v>295</v>
      </c>
      <c r="R88" s="6" t="s">
        <v>106</v>
      </c>
      <c r="S88" s="6" t="s">
        <v>169</v>
      </c>
      <c r="T88" s="6" t="s">
        <v>267</v>
      </c>
      <c r="U88" s="6"/>
      <c r="V88" s="6"/>
      <c r="W88" s="6" t="s">
        <v>471</v>
      </c>
    </row>
    <row r="89" spans="1:23" x14ac:dyDescent="0.5">
      <c r="B89" s="6">
        <v>89</v>
      </c>
      <c r="C89" s="8">
        <v>44709</v>
      </c>
      <c r="D89" s="6" t="s">
        <v>66</v>
      </c>
      <c r="E89" s="6" t="s">
        <v>70</v>
      </c>
      <c r="F89" s="8">
        <v>44703</v>
      </c>
      <c r="G89" s="6" t="s">
        <v>5</v>
      </c>
      <c r="H89" s="6"/>
      <c r="I89" s="6"/>
      <c r="J89" s="8">
        <v>44703</v>
      </c>
      <c r="K89" s="36">
        <v>44774</v>
      </c>
      <c r="L89" s="8">
        <v>44796</v>
      </c>
      <c r="M89" s="8" t="s">
        <v>443</v>
      </c>
      <c r="N89" s="6" t="s">
        <v>316</v>
      </c>
      <c r="O89" s="8" t="s">
        <v>444</v>
      </c>
      <c r="P89" s="6" t="s">
        <v>318</v>
      </c>
      <c r="Q89" s="6" t="s">
        <v>332</v>
      </c>
      <c r="R89" s="6" t="s">
        <v>106</v>
      </c>
      <c r="S89" s="6" t="s">
        <v>166</v>
      </c>
      <c r="T89" s="6" t="s">
        <v>267</v>
      </c>
      <c r="U89" s="6"/>
      <c r="V89" s="6"/>
      <c r="W89" s="6" t="s">
        <v>475</v>
      </c>
    </row>
    <row r="90" spans="1:23" x14ac:dyDescent="0.5">
      <c r="B90" s="6">
        <v>83</v>
      </c>
      <c r="C90" s="8">
        <v>44725</v>
      </c>
      <c r="D90" s="6" t="s">
        <v>66</v>
      </c>
      <c r="E90" s="6" t="s">
        <v>52</v>
      </c>
      <c r="F90" s="8">
        <v>44697</v>
      </c>
      <c r="G90" s="6" t="s">
        <v>72</v>
      </c>
      <c r="H90" s="6"/>
      <c r="I90" s="6"/>
      <c r="J90" s="8">
        <v>44704</v>
      </c>
      <c r="K90" s="36">
        <v>44835</v>
      </c>
      <c r="L90" s="8">
        <v>44851</v>
      </c>
      <c r="M90" s="8" t="s">
        <v>447</v>
      </c>
      <c r="N90" s="6" t="s">
        <v>275</v>
      </c>
      <c r="O90" s="8" t="s">
        <v>448</v>
      </c>
      <c r="P90" s="6" t="s">
        <v>275</v>
      </c>
      <c r="Q90" s="6" t="s">
        <v>328</v>
      </c>
      <c r="R90" s="6" t="s">
        <v>285</v>
      </c>
      <c r="S90" s="6" t="s">
        <v>169</v>
      </c>
      <c r="T90" s="6" t="s">
        <v>273</v>
      </c>
      <c r="U90" s="6" t="s">
        <v>411</v>
      </c>
      <c r="V90" s="6" t="s">
        <v>406</v>
      </c>
      <c r="W90" s="6" t="s">
        <v>449</v>
      </c>
    </row>
    <row r="91" spans="1:23" x14ac:dyDescent="0.5">
      <c r="B91" s="6">
        <v>86</v>
      </c>
      <c r="C91" s="8"/>
      <c r="D91" s="6" t="s">
        <v>118</v>
      </c>
      <c r="E91" s="6" t="s">
        <v>70</v>
      </c>
      <c r="F91" s="8">
        <v>44700</v>
      </c>
      <c r="G91" s="6" t="s">
        <v>61</v>
      </c>
      <c r="H91" s="6" t="s">
        <v>77</v>
      </c>
      <c r="I91" s="6" t="s">
        <v>338</v>
      </c>
      <c r="J91" s="8">
        <v>44704</v>
      </c>
      <c r="K91" s="36">
        <v>44835</v>
      </c>
      <c r="L91" s="8"/>
      <c r="M91" s="8" t="s">
        <v>445</v>
      </c>
      <c r="N91" s="6" t="s">
        <v>275</v>
      </c>
      <c r="O91" s="8" t="s">
        <v>436</v>
      </c>
      <c r="P91" s="6" t="s">
        <v>269</v>
      </c>
      <c r="Q91" s="6" t="s">
        <v>271</v>
      </c>
      <c r="R91" s="6" t="s">
        <v>272</v>
      </c>
      <c r="S91" s="6" t="s">
        <v>169</v>
      </c>
      <c r="T91" s="6" t="s">
        <v>273</v>
      </c>
      <c r="U91" s="6" t="s">
        <v>139</v>
      </c>
      <c r="V91" s="6"/>
      <c r="W91" s="6" t="s">
        <v>446</v>
      </c>
    </row>
    <row r="92" spans="1:23" x14ac:dyDescent="0.5">
      <c r="B92" s="6">
        <v>87</v>
      </c>
      <c r="C92" s="8"/>
      <c r="D92" s="6" t="s">
        <v>118</v>
      </c>
      <c r="E92" s="6" t="s">
        <v>52</v>
      </c>
      <c r="F92" s="8">
        <v>44701</v>
      </c>
      <c r="G92" s="6" t="s">
        <v>61</v>
      </c>
      <c r="H92" s="6" t="s">
        <v>278</v>
      </c>
      <c r="I92" s="6" t="s">
        <v>79</v>
      </c>
      <c r="J92" s="8">
        <v>44704</v>
      </c>
      <c r="K92" s="36">
        <v>45170</v>
      </c>
      <c r="L92" s="8"/>
      <c r="M92" s="8" t="s">
        <v>450</v>
      </c>
      <c r="N92" s="6" t="s">
        <v>301</v>
      </c>
      <c r="O92" s="8" t="s">
        <v>437</v>
      </c>
      <c r="P92" s="6" t="s">
        <v>301</v>
      </c>
      <c r="Q92" s="6" t="s">
        <v>328</v>
      </c>
      <c r="R92" s="6" t="s">
        <v>272</v>
      </c>
      <c r="S92" s="6" t="s">
        <v>169</v>
      </c>
      <c r="T92" s="6" t="s">
        <v>267</v>
      </c>
      <c r="U92" s="6" t="s">
        <v>133</v>
      </c>
      <c r="V92" s="6" t="s">
        <v>451</v>
      </c>
      <c r="W92" s="6" t="s">
        <v>453</v>
      </c>
    </row>
    <row r="93" spans="1:23" x14ac:dyDescent="0.5">
      <c r="B93" s="6">
        <v>91</v>
      </c>
      <c r="C93" s="8">
        <v>44717</v>
      </c>
      <c r="D93" s="6" t="s">
        <v>66</v>
      </c>
      <c r="E93" s="6" t="s">
        <v>71</v>
      </c>
      <c r="F93" s="8">
        <v>44705</v>
      </c>
      <c r="G93" s="6" t="s">
        <v>61</v>
      </c>
      <c r="H93" s="6" t="s">
        <v>278</v>
      </c>
      <c r="I93" s="6" t="s">
        <v>254</v>
      </c>
      <c r="J93" s="8">
        <v>44711</v>
      </c>
      <c r="K93" s="36">
        <v>45047</v>
      </c>
      <c r="L93" s="8">
        <v>45066</v>
      </c>
      <c r="M93" s="8" t="s">
        <v>454</v>
      </c>
      <c r="N93" s="6" t="s">
        <v>269</v>
      </c>
      <c r="O93" s="8" t="s">
        <v>463</v>
      </c>
      <c r="P93" s="6" t="s">
        <v>269</v>
      </c>
      <c r="Q93" s="6" t="s">
        <v>328</v>
      </c>
      <c r="R93" s="6" t="s">
        <v>464</v>
      </c>
      <c r="S93" s="6" t="s">
        <v>169</v>
      </c>
      <c r="T93" s="6" t="s">
        <v>286</v>
      </c>
      <c r="U93" s="6" t="s">
        <v>411</v>
      </c>
      <c r="V93" s="6" t="s">
        <v>139</v>
      </c>
      <c r="W93" s="6" t="s">
        <v>465</v>
      </c>
    </row>
    <row r="94" spans="1:23" x14ac:dyDescent="0.5">
      <c r="B94" s="6">
        <v>93</v>
      </c>
      <c r="C94" s="8"/>
      <c r="D94" s="6" t="s">
        <v>118</v>
      </c>
      <c r="E94" s="6" t="s">
        <v>52</v>
      </c>
      <c r="F94" s="8">
        <v>44709</v>
      </c>
      <c r="G94" s="6" t="s">
        <v>61</v>
      </c>
      <c r="H94" s="6" t="s">
        <v>278</v>
      </c>
      <c r="I94" s="6" t="s">
        <v>254</v>
      </c>
      <c r="J94" s="8">
        <v>44712</v>
      </c>
      <c r="K94" s="36">
        <v>44866</v>
      </c>
      <c r="L94" s="8"/>
      <c r="M94" s="8" t="s">
        <v>457</v>
      </c>
      <c r="N94" s="6" t="s">
        <v>318</v>
      </c>
      <c r="O94" s="8" t="s">
        <v>466</v>
      </c>
      <c r="P94" s="6" t="s">
        <v>275</v>
      </c>
      <c r="Q94" s="6" t="s">
        <v>271</v>
      </c>
      <c r="R94" s="6" t="s">
        <v>285</v>
      </c>
      <c r="S94" s="6" t="s">
        <v>169</v>
      </c>
      <c r="T94" s="6" t="s">
        <v>286</v>
      </c>
      <c r="U94" s="6" t="s">
        <v>406</v>
      </c>
      <c r="V94" s="6" t="s">
        <v>467</v>
      </c>
      <c r="W94" s="6" t="s">
        <v>469</v>
      </c>
    </row>
    <row r="95" spans="1:23" x14ac:dyDescent="0.5">
      <c r="B95" s="6">
        <v>92</v>
      </c>
      <c r="C95" s="8"/>
      <c r="D95" s="6"/>
      <c r="E95" s="6"/>
      <c r="F95" s="8"/>
      <c r="G95" s="6" t="s">
        <v>72</v>
      </c>
      <c r="H95" s="6"/>
      <c r="I95" s="6"/>
      <c r="J95" s="8"/>
      <c r="K95" s="36"/>
      <c r="L95" s="8"/>
      <c r="M95" s="8" t="s">
        <v>455</v>
      </c>
      <c r="N95" s="6"/>
      <c r="O95" s="8"/>
      <c r="P95" s="6"/>
      <c r="Q95" s="6"/>
      <c r="R95" s="6"/>
      <c r="S95" s="6"/>
      <c r="T95" s="6"/>
      <c r="U95" s="6"/>
      <c r="V95" s="6"/>
      <c r="W95" s="6" t="s">
        <v>456</v>
      </c>
    </row>
    <row r="96" spans="1:23" x14ac:dyDescent="0.5">
      <c r="B96" s="6">
        <v>90</v>
      </c>
      <c r="C96" s="8">
        <v>44716</v>
      </c>
      <c r="D96" s="6" t="s">
        <v>68</v>
      </c>
      <c r="E96" s="6" t="s">
        <v>52</v>
      </c>
      <c r="F96" s="8">
        <v>44703</v>
      </c>
      <c r="G96" s="6" t="s">
        <v>5</v>
      </c>
      <c r="H96" s="6"/>
      <c r="I96" s="6"/>
      <c r="J96" s="8">
        <v>44716</v>
      </c>
      <c r="K96" s="36">
        <v>44866</v>
      </c>
      <c r="L96" s="8">
        <v>44887</v>
      </c>
      <c r="M96" s="8" t="s">
        <v>472</v>
      </c>
      <c r="N96" s="6" t="s">
        <v>269</v>
      </c>
      <c r="O96" s="8" t="s">
        <v>473</v>
      </c>
      <c r="P96" s="6" t="s">
        <v>269</v>
      </c>
      <c r="Q96" s="6" t="s">
        <v>332</v>
      </c>
      <c r="R96" s="6" t="s">
        <v>106</v>
      </c>
      <c r="S96" s="6" t="s">
        <v>166</v>
      </c>
      <c r="T96" s="6" t="s">
        <v>286</v>
      </c>
      <c r="U96" s="6" t="s">
        <v>290</v>
      </c>
      <c r="V96" s="6"/>
      <c r="W96" s="6" t="s">
        <v>474</v>
      </c>
    </row>
    <row r="97" spans="2:23" x14ac:dyDescent="0.5">
      <c r="B97" s="6">
        <v>95</v>
      </c>
      <c r="C97" s="8">
        <v>44736</v>
      </c>
      <c r="D97" s="6" t="s">
        <v>67</v>
      </c>
      <c r="E97" s="6" t="s">
        <v>71</v>
      </c>
      <c r="F97" s="8">
        <v>44709</v>
      </c>
      <c r="G97" s="6" t="s">
        <v>73</v>
      </c>
      <c r="H97" s="6"/>
      <c r="I97" s="6"/>
      <c r="J97" s="8">
        <v>44716</v>
      </c>
      <c r="K97" s="36">
        <v>44835</v>
      </c>
      <c r="L97" s="8">
        <v>44848</v>
      </c>
      <c r="M97" s="8" t="s">
        <v>460</v>
      </c>
      <c r="N97" s="6" t="s">
        <v>318</v>
      </c>
      <c r="O97" s="8" t="s">
        <v>461</v>
      </c>
      <c r="P97" s="6" t="s">
        <v>275</v>
      </c>
      <c r="Q97" s="6" t="s">
        <v>266</v>
      </c>
      <c r="R97" s="6" t="s">
        <v>106</v>
      </c>
      <c r="S97" s="6" t="s">
        <v>149</v>
      </c>
      <c r="T97" s="6" t="s">
        <v>286</v>
      </c>
      <c r="U97" s="6" t="s">
        <v>135</v>
      </c>
      <c r="V97" s="6" t="s">
        <v>411</v>
      </c>
      <c r="W97" s="6" t="s">
        <v>491</v>
      </c>
    </row>
    <row r="98" spans="2:23" x14ac:dyDescent="0.5">
      <c r="B98" s="6">
        <v>94</v>
      </c>
      <c r="C98" s="8"/>
      <c r="D98" s="6" t="s">
        <v>118</v>
      </c>
      <c r="E98" s="6" t="s">
        <v>71</v>
      </c>
      <c r="F98" s="8">
        <v>44705</v>
      </c>
      <c r="G98" s="6" t="s">
        <v>61</v>
      </c>
      <c r="H98" s="6" t="s">
        <v>278</v>
      </c>
      <c r="I98" s="6" t="s">
        <v>337</v>
      </c>
      <c r="J98" s="8">
        <v>44723</v>
      </c>
      <c r="K98" s="36">
        <v>44896</v>
      </c>
      <c r="L98" s="8" t="s">
        <v>478</v>
      </c>
      <c r="M98" s="8" t="s">
        <v>479</v>
      </c>
      <c r="N98" s="6" t="s">
        <v>269</v>
      </c>
      <c r="O98" s="8" t="s">
        <v>459</v>
      </c>
      <c r="P98" s="6" t="s">
        <v>269</v>
      </c>
      <c r="Q98" s="6" t="s">
        <v>328</v>
      </c>
      <c r="R98" s="6" t="s">
        <v>272</v>
      </c>
      <c r="S98" s="6" t="s">
        <v>169</v>
      </c>
      <c r="T98" s="6" t="s">
        <v>267</v>
      </c>
      <c r="U98" s="6" t="s">
        <v>480</v>
      </c>
      <c r="V98" s="6"/>
      <c r="W98" s="6" t="s">
        <v>481</v>
      </c>
    </row>
    <row r="99" spans="2:23" x14ac:dyDescent="0.5">
      <c r="B99" s="6">
        <v>99</v>
      </c>
      <c r="C99" s="8">
        <v>44761</v>
      </c>
      <c r="D99" s="6" t="s">
        <v>66</v>
      </c>
      <c r="E99" s="6" t="s">
        <v>52</v>
      </c>
      <c r="F99" s="8">
        <v>44718</v>
      </c>
      <c r="G99" s="6" t="s">
        <v>255</v>
      </c>
      <c r="H99" s="6"/>
      <c r="I99" s="6"/>
      <c r="J99" s="8">
        <v>44728</v>
      </c>
      <c r="K99" s="36">
        <v>45078</v>
      </c>
      <c r="L99" s="8">
        <v>45095</v>
      </c>
      <c r="M99" s="8" t="s">
        <v>482</v>
      </c>
      <c r="N99" s="6" t="s">
        <v>275</v>
      </c>
      <c r="O99" s="8" t="s">
        <v>483</v>
      </c>
      <c r="P99" s="6" t="s">
        <v>275</v>
      </c>
      <c r="Q99" s="6" t="s">
        <v>271</v>
      </c>
      <c r="R99" s="6" t="s">
        <v>397</v>
      </c>
      <c r="S99" s="6" t="s">
        <v>169</v>
      </c>
      <c r="T99" s="6" t="s">
        <v>267</v>
      </c>
      <c r="U99" s="6"/>
      <c r="V99" s="6"/>
      <c r="W99" s="6" t="s">
        <v>514</v>
      </c>
    </row>
    <row r="100" spans="2:23" x14ac:dyDescent="0.5">
      <c r="B100" s="6">
        <v>97</v>
      </c>
      <c r="C100" s="8"/>
      <c r="D100" s="6"/>
      <c r="E100" s="6"/>
      <c r="F100" s="8">
        <v>44696</v>
      </c>
      <c r="G100" s="6" t="s">
        <v>281</v>
      </c>
      <c r="H100" s="6"/>
      <c r="I100" s="6"/>
      <c r="J100" s="8"/>
      <c r="K100" s="36"/>
      <c r="L100" s="8"/>
      <c r="M100" s="8"/>
      <c r="N100" s="6"/>
      <c r="O100" s="8" t="s">
        <v>462</v>
      </c>
      <c r="P100" s="6"/>
      <c r="Q100" s="6"/>
      <c r="R100" s="6"/>
      <c r="S100" s="6"/>
      <c r="T100" s="6"/>
      <c r="U100" s="6"/>
      <c r="V100" s="6"/>
      <c r="W100" s="6" t="s">
        <v>489</v>
      </c>
    </row>
    <row r="101" spans="2:23" x14ac:dyDescent="0.5">
      <c r="B101" s="6">
        <v>98</v>
      </c>
      <c r="C101" s="8"/>
      <c r="D101" s="6"/>
      <c r="E101" s="6"/>
      <c r="F101" s="8">
        <v>44710</v>
      </c>
      <c r="G101" s="6" t="s">
        <v>61</v>
      </c>
      <c r="H101" s="6" t="s">
        <v>278</v>
      </c>
      <c r="I101" s="6" t="s">
        <v>254</v>
      </c>
      <c r="J101" s="8"/>
      <c r="K101" s="36"/>
      <c r="L101" s="8"/>
      <c r="M101" s="8"/>
      <c r="N101" s="6"/>
      <c r="O101" s="8" t="s">
        <v>468</v>
      </c>
      <c r="P101" s="6"/>
      <c r="Q101" s="6"/>
      <c r="R101" s="6"/>
      <c r="S101" s="6"/>
      <c r="T101" s="6"/>
      <c r="U101" s="6"/>
      <c r="V101" s="6"/>
      <c r="W101" s="6" t="s">
        <v>477</v>
      </c>
    </row>
    <row r="102" spans="2:23" x14ac:dyDescent="0.5">
      <c r="B102" s="6">
        <v>96</v>
      </c>
      <c r="C102" s="8"/>
      <c r="D102" s="6" t="s">
        <v>261</v>
      </c>
      <c r="E102" s="6" t="s">
        <v>71</v>
      </c>
      <c r="F102" s="8">
        <v>44709</v>
      </c>
      <c r="G102" s="6" t="s">
        <v>5</v>
      </c>
      <c r="H102" s="6"/>
      <c r="I102" s="6"/>
      <c r="J102" s="8">
        <v>44731</v>
      </c>
      <c r="K102" s="36">
        <v>44774</v>
      </c>
      <c r="L102" s="8">
        <v>44800</v>
      </c>
      <c r="M102" s="8" t="s">
        <v>484</v>
      </c>
      <c r="N102" s="6" t="s">
        <v>269</v>
      </c>
      <c r="O102" s="8" t="s">
        <v>485</v>
      </c>
      <c r="P102" s="6" t="s">
        <v>269</v>
      </c>
      <c r="Q102" s="6" t="s">
        <v>295</v>
      </c>
      <c r="R102" s="6" t="s">
        <v>106</v>
      </c>
      <c r="S102" s="6" t="s">
        <v>169</v>
      </c>
      <c r="T102" s="6" t="s">
        <v>273</v>
      </c>
      <c r="U102" s="6" t="s">
        <v>144</v>
      </c>
      <c r="V102" s="6" t="s">
        <v>133</v>
      </c>
      <c r="W102" s="6" t="s">
        <v>490</v>
      </c>
    </row>
    <row r="103" spans="2:23" x14ac:dyDescent="0.5">
      <c r="B103" s="6">
        <v>100</v>
      </c>
      <c r="C103" s="8"/>
      <c r="D103" s="6"/>
      <c r="E103" s="6"/>
      <c r="F103" s="8">
        <v>44730</v>
      </c>
      <c r="G103" s="6" t="s">
        <v>61</v>
      </c>
      <c r="H103" s="6" t="s">
        <v>65</v>
      </c>
      <c r="I103" s="6"/>
      <c r="J103" s="8"/>
      <c r="K103" s="36"/>
      <c r="L103" s="8"/>
      <c r="M103" s="8"/>
      <c r="N103" s="6"/>
      <c r="O103" s="8" t="s">
        <v>486</v>
      </c>
      <c r="P103" s="6"/>
      <c r="Q103" s="6"/>
      <c r="R103" s="6"/>
      <c r="S103" s="6"/>
      <c r="T103" s="6"/>
      <c r="U103" s="6"/>
      <c r="V103" s="6"/>
      <c r="W103" s="6" t="s">
        <v>487</v>
      </c>
    </row>
    <row r="104" spans="2:23" x14ac:dyDescent="0.5">
      <c r="B104" s="6">
        <v>101</v>
      </c>
      <c r="C104" s="8">
        <v>44744</v>
      </c>
      <c r="D104" s="6" t="s">
        <v>66</v>
      </c>
      <c r="E104" s="6" t="s">
        <v>71</v>
      </c>
      <c r="F104" s="8">
        <v>44733</v>
      </c>
      <c r="G104" s="6" t="s">
        <v>61</v>
      </c>
      <c r="H104" s="6"/>
      <c r="I104" s="6" t="s">
        <v>337</v>
      </c>
      <c r="J104" s="8">
        <v>44738</v>
      </c>
      <c r="K104" s="36">
        <v>44866</v>
      </c>
      <c r="L104" s="8">
        <v>44870</v>
      </c>
      <c r="M104" s="8" t="s">
        <v>492</v>
      </c>
      <c r="N104" s="6"/>
      <c r="O104" s="8" t="s">
        <v>488</v>
      </c>
      <c r="P104" s="6"/>
      <c r="Q104" s="6" t="s">
        <v>271</v>
      </c>
      <c r="R104" s="6" t="s">
        <v>106</v>
      </c>
      <c r="S104" s="6" t="s">
        <v>149</v>
      </c>
      <c r="T104" s="6" t="s">
        <v>267</v>
      </c>
      <c r="U104" s="6"/>
      <c r="V104" s="6"/>
      <c r="W104" s="6" t="s">
        <v>493</v>
      </c>
    </row>
    <row r="105" spans="2:23" x14ac:dyDescent="0.5">
      <c r="B105" s="6">
        <v>105</v>
      </c>
      <c r="C105" s="8"/>
      <c r="D105" s="6" t="s">
        <v>118</v>
      </c>
      <c r="E105" s="6" t="s">
        <v>70</v>
      </c>
      <c r="F105" s="8">
        <v>44740</v>
      </c>
      <c r="G105" s="6" t="s">
        <v>61</v>
      </c>
      <c r="H105" s="6" t="s">
        <v>278</v>
      </c>
      <c r="I105" s="6" t="s">
        <v>79</v>
      </c>
      <c r="J105" s="8">
        <v>44743</v>
      </c>
      <c r="K105" s="36">
        <v>45017</v>
      </c>
      <c r="L105" s="8"/>
      <c r="M105" s="8" t="s">
        <v>496</v>
      </c>
      <c r="N105" s="6" t="s">
        <v>275</v>
      </c>
      <c r="O105" s="8" t="s">
        <v>497</v>
      </c>
      <c r="P105" s="6" t="s">
        <v>269</v>
      </c>
      <c r="Q105" s="6" t="s">
        <v>295</v>
      </c>
      <c r="R105" s="6" t="s">
        <v>107</v>
      </c>
      <c r="S105" s="6" t="s">
        <v>169</v>
      </c>
      <c r="T105" s="6" t="s">
        <v>286</v>
      </c>
      <c r="U105" s="6" t="s">
        <v>440</v>
      </c>
      <c r="V105" s="6" t="s">
        <v>378</v>
      </c>
      <c r="W105" s="6" t="s">
        <v>498</v>
      </c>
    </row>
    <row r="106" spans="2:23" x14ac:dyDescent="0.5">
      <c r="B106" s="6">
        <v>106</v>
      </c>
      <c r="C106" s="8">
        <v>44747</v>
      </c>
      <c r="D106" s="6" t="s">
        <v>66</v>
      </c>
      <c r="E106" s="6" t="s">
        <v>71</v>
      </c>
      <c r="F106" s="8">
        <v>44732</v>
      </c>
      <c r="G106" s="6" t="s">
        <v>61</v>
      </c>
      <c r="H106" s="6" t="s">
        <v>278</v>
      </c>
      <c r="I106" s="6" t="s">
        <v>79</v>
      </c>
      <c r="J106" s="8">
        <v>44744</v>
      </c>
      <c r="K106" s="36">
        <v>45047</v>
      </c>
      <c r="L106" s="8">
        <v>44702</v>
      </c>
      <c r="M106" s="8" t="s">
        <v>499</v>
      </c>
      <c r="N106" s="6" t="s">
        <v>269</v>
      </c>
      <c r="O106" s="8" t="s">
        <v>572</v>
      </c>
      <c r="P106" s="6" t="s">
        <v>301</v>
      </c>
      <c r="Q106" s="6" t="s">
        <v>328</v>
      </c>
      <c r="R106" s="6" t="s">
        <v>397</v>
      </c>
      <c r="S106" s="6" t="s">
        <v>169</v>
      </c>
      <c r="T106" s="6" t="s">
        <v>267</v>
      </c>
      <c r="U106" s="6" t="s">
        <v>411</v>
      </c>
      <c r="V106" s="6"/>
      <c r="W106" s="6" t="s">
        <v>500</v>
      </c>
    </row>
    <row r="107" spans="2:23" x14ac:dyDescent="0.5">
      <c r="B107" s="6">
        <v>102</v>
      </c>
      <c r="C107" s="8"/>
      <c r="D107" s="6" t="s">
        <v>118</v>
      </c>
      <c r="E107" s="6" t="s">
        <v>52</v>
      </c>
      <c r="F107" s="8">
        <v>44728</v>
      </c>
      <c r="G107" s="6" t="s">
        <v>281</v>
      </c>
      <c r="H107" s="6"/>
      <c r="I107" s="6"/>
      <c r="J107" s="8">
        <v>44751</v>
      </c>
      <c r="K107" s="36">
        <v>45047</v>
      </c>
      <c r="L107" s="8"/>
      <c r="M107" s="8" t="s">
        <v>505</v>
      </c>
      <c r="N107" s="6" t="s">
        <v>275</v>
      </c>
      <c r="O107" s="8" t="s">
        <v>506</v>
      </c>
      <c r="P107" s="6" t="s">
        <v>269</v>
      </c>
      <c r="Q107" s="6" t="s">
        <v>266</v>
      </c>
      <c r="R107" s="6" t="s">
        <v>106</v>
      </c>
      <c r="S107" s="6"/>
      <c r="T107" s="6" t="s">
        <v>267</v>
      </c>
      <c r="U107" s="6"/>
      <c r="V107" s="6"/>
      <c r="W107" s="6" t="s">
        <v>507</v>
      </c>
    </row>
    <row r="108" spans="2:23" x14ac:dyDescent="0.5">
      <c r="B108" s="6">
        <v>111</v>
      </c>
      <c r="C108" s="8"/>
      <c r="D108" s="6" t="s">
        <v>118</v>
      </c>
      <c r="E108" s="6" t="s">
        <v>52</v>
      </c>
      <c r="F108" s="8">
        <v>44754</v>
      </c>
      <c r="G108" s="6" t="s">
        <v>61</v>
      </c>
      <c r="H108" s="6" t="s">
        <v>278</v>
      </c>
      <c r="I108" s="6" t="s">
        <v>336</v>
      </c>
      <c r="J108" s="8">
        <v>44756</v>
      </c>
      <c r="K108" s="36">
        <v>44866</v>
      </c>
      <c r="L108" s="8"/>
      <c r="M108" s="8" t="s">
        <v>511</v>
      </c>
      <c r="N108" s="6" t="s">
        <v>316</v>
      </c>
      <c r="O108" s="8" t="s">
        <v>512</v>
      </c>
      <c r="P108" s="6" t="s">
        <v>318</v>
      </c>
      <c r="Q108" s="6" t="s">
        <v>266</v>
      </c>
      <c r="R108" s="6" t="s">
        <v>107</v>
      </c>
      <c r="S108" s="6" t="s">
        <v>169</v>
      </c>
      <c r="T108" s="6" t="s">
        <v>273</v>
      </c>
      <c r="U108" s="6"/>
      <c r="V108" s="6"/>
      <c r="W108" s="6" t="s">
        <v>513</v>
      </c>
    </row>
    <row r="109" spans="2:23" x14ac:dyDescent="0.5">
      <c r="B109" s="6">
        <v>110</v>
      </c>
      <c r="C109" s="8"/>
      <c r="D109" s="6" t="s">
        <v>118</v>
      </c>
      <c r="E109" s="6" t="s">
        <v>52</v>
      </c>
      <c r="F109" s="8">
        <v>44752</v>
      </c>
      <c r="G109" s="6" t="s">
        <v>61</v>
      </c>
      <c r="H109" s="6" t="s">
        <v>278</v>
      </c>
      <c r="I109" s="6" t="s">
        <v>337</v>
      </c>
      <c r="J109" s="8">
        <v>44759</v>
      </c>
      <c r="K109" s="36">
        <v>44774</v>
      </c>
      <c r="L109" s="8"/>
      <c r="M109" s="8" t="s">
        <v>510</v>
      </c>
      <c r="N109" s="6" t="s">
        <v>269</v>
      </c>
      <c r="O109" s="8" t="s">
        <v>521</v>
      </c>
      <c r="P109" s="6" t="s">
        <v>269</v>
      </c>
      <c r="Q109" s="6" t="s">
        <v>332</v>
      </c>
      <c r="R109" s="6" t="s">
        <v>106</v>
      </c>
      <c r="S109" s="6"/>
      <c r="T109" s="6" t="s">
        <v>267</v>
      </c>
      <c r="U109" s="6"/>
      <c r="V109" s="6"/>
      <c r="W109" s="6" t="s">
        <v>522</v>
      </c>
    </row>
    <row r="110" spans="2:23" x14ac:dyDescent="0.5">
      <c r="B110" s="6">
        <v>104</v>
      </c>
      <c r="C110" s="8">
        <v>44765</v>
      </c>
      <c r="D110" s="6" t="s">
        <v>66</v>
      </c>
      <c r="E110" s="6" t="s">
        <v>52</v>
      </c>
      <c r="F110" s="8">
        <v>44742</v>
      </c>
      <c r="G110" s="6" t="s">
        <v>61</v>
      </c>
      <c r="H110" s="6" t="s">
        <v>278</v>
      </c>
      <c r="I110" s="6" t="s">
        <v>254</v>
      </c>
      <c r="J110" s="8">
        <v>44760</v>
      </c>
      <c r="K110" s="36">
        <v>45200</v>
      </c>
      <c r="L110" s="8">
        <v>45206</v>
      </c>
      <c r="M110" s="8" t="s">
        <v>495</v>
      </c>
      <c r="N110" s="6" t="s">
        <v>275</v>
      </c>
      <c r="O110" s="8" t="s">
        <v>525</v>
      </c>
      <c r="P110" s="6" t="s">
        <v>275</v>
      </c>
      <c r="Q110" s="6" t="s">
        <v>266</v>
      </c>
      <c r="R110" s="6" t="s">
        <v>107</v>
      </c>
      <c r="S110" s="6" t="s">
        <v>166</v>
      </c>
      <c r="T110" s="6" t="s">
        <v>286</v>
      </c>
      <c r="U110" s="6" t="s">
        <v>290</v>
      </c>
      <c r="V110" s="6"/>
      <c r="W110" s="6" t="s">
        <v>526</v>
      </c>
    </row>
    <row r="111" spans="2:23" x14ac:dyDescent="0.5">
      <c r="B111" s="6">
        <v>108</v>
      </c>
      <c r="C111" s="8"/>
      <c r="D111" s="6"/>
      <c r="E111" s="6"/>
      <c r="F111" s="8">
        <v>44747</v>
      </c>
      <c r="G111" s="6" t="s">
        <v>262</v>
      </c>
      <c r="H111" s="6" t="s">
        <v>65</v>
      </c>
      <c r="I111" s="6"/>
      <c r="J111" s="8"/>
      <c r="K111" s="36"/>
      <c r="L111" s="8"/>
      <c r="M111" s="8"/>
      <c r="N111" s="6"/>
      <c r="O111" s="8" t="s">
        <v>503</v>
      </c>
      <c r="P111" s="6"/>
      <c r="Q111" s="6"/>
      <c r="R111" s="6"/>
      <c r="S111" s="6"/>
      <c r="T111" s="6"/>
      <c r="U111" s="6"/>
      <c r="V111" s="6"/>
      <c r="W111" s="6" t="s">
        <v>504</v>
      </c>
    </row>
    <row r="112" spans="2:23" x14ac:dyDescent="0.5">
      <c r="B112" s="60">
        <v>109</v>
      </c>
      <c r="C112" s="61"/>
      <c r="D112" s="60"/>
      <c r="E112" s="60"/>
      <c r="F112" s="61">
        <v>44751</v>
      </c>
      <c r="G112" s="60" t="s">
        <v>255</v>
      </c>
      <c r="H112" s="60"/>
      <c r="I112" s="60" t="s">
        <v>338</v>
      </c>
      <c r="J112" s="61"/>
      <c r="K112" s="62"/>
      <c r="L112" s="61"/>
      <c r="M112" s="61" t="s">
        <v>508</v>
      </c>
      <c r="N112" s="60"/>
      <c r="O112" s="61" t="s">
        <v>509</v>
      </c>
      <c r="P112" s="60"/>
      <c r="Q112" s="60"/>
      <c r="R112" s="60"/>
      <c r="S112" s="60"/>
      <c r="T112" s="60"/>
      <c r="U112" s="60"/>
      <c r="V112" s="60"/>
      <c r="W112" s="60"/>
    </row>
    <row r="113" spans="1:23" x14ac:dyDescent="0.5">
      <c r="B113" s="6">
        <v>113</v>
      </c>
      <c r="C113" s="8"/>
      <c r="D113" s="6" t="s">
        <v>118</v>
      </c>
      <c r="E113" s="6" t="s">
        <v>52</v>
      </c>
      <c r="F113" s="8">
        <v>44757</v>
      </c>
      <c r="G113" s="6" t="s">
        <v>281</v>
      </c>
      <c r="H113" s="6"/>
      <c r="I113" s="6"/>
      <c r="J113" s="8">
        <v>44760</v>
      </c>
      <c r="K113" s="36">
        <v>44866</v>
      </c>
      <c r="L113" s="8"/>
      <c r="M113" s="8" t="s">
        <v>523</v>
      </c>
      <c r="N113" s="6" t="s">
        <v>318</v>
      </c>
      <c r="O113" s="8" t="s">
        <v>517</v>
      </c>
      <c r="P113" s="6" t="s">
        <v>318</v>
      </c>
      <c r="Q113" s="6" t="s">
        <v>374</v>
      </c>
      <c r="R113" s="6" t="s">
        <v>272</v>
      </c>
      <c r="S113" s="6" t="s">
        <v>169</v>
      </c>
      <c r="T113" s="6" t="s">
        <v>267</v>
      </c>
      <c r="U113" s="6"/>
      <c r="V113" s="6"/>
      <c r="W113" s="6" t="s">
        <v>524</v>
      </c>
    </row>
    <row r="114" spans="1:23" x14ac:dyDescent="0.5">
      <c r="B114" s="6">
        <v>112</v>
      </c>
      <c r="C114" s="8"/>
      <c r="D114" s="6" t="s">
        <v>261</v>
      </c>
      <c r="E114" s="6" t="s">
        <v>52</v>
      </c>
      <c r="F114" s="8">
        <v>44757</v>
      </c>
      <c r="G114" s="6" t="s">
        <v>73</v>
      </c>
      <c r="H114" s="6"/>
      <c r="I114" s="6"/>
      <c r="J114" s="8">
        <v>44763</v>
      </c>
      <c r="K114" s="36">
        <v>45047</v>
      </c>
      <c r="L114" s="8">
        <v>45073</v>
      </c>
      <c r="M114" s="8" t="s">
        <v>515</v>
      </c>
      <c r="N114" s="6" t="s">
        <v>269</v>
      </c>
      <c r="O114" s="8" t="s">
        <v>516</v>
      </c>
      <c r="P114" s="6" t="s">
        <v>269</v>
      </c>
      <c r="Q114" s="6" t="s">
        <v>328</v>
      </c>
      <c r="R114" s="6" t="s">
        <v>285</v>
      </c>
      <c r="S114" s="6" t="s">
        <v>169</v>
      </c>
      <c r="T114" s="6" t="s">
        <v>267</v>
      </c>
      <c r="U114" s="6" t="s">
        <v>378</v>
      </c>
      <c r="V114" s="6"/>
      <c r="W114" s="6" t="s">
        <v>527</v>
      </c>
    </row>
    <row r="115" spans="1:23" x14ac:dyDescent="0.5">
      <c r="B115" s="6">
        <v>103</v>
      </c>
      <c r="C115" s="8"/>
      <c r="D115" s="6" t="s">
        <v>118</v>
      </c>
      <c r="E115" s="6" t="s">
        <v>70</v>
      </c>
      <c r="F115" s="8">
        <v>44740</v>
      </c>
      <c r="G115" s="6" t="s">
        <v>61</v>
      </c>
      <c r="H115" s="6" t="s">
        <v>278</v>
      </c>
      <c r="I115" s="6" t="s">
        <v>254</v>
      </c>
      <c r="J115" s="8">
        <v>44764</v>
      </c>
      <c r="K115" s="36">
        <v>44866</v>
      </c>
      <c r="L115" s="8"/>
      <c r="M115" s="8" t="s">
        <v>529</v>
      </c>
      <c r="N115" s="6" t="s">
        <v>269</v>
      </c>
      <c r="O115" s="8" t="s">
        <v>494</v>
      </c>
      <c r="P115" s="6" t="s">
        <v>269</v>
      </c>
      <c r="Q115" s="6" t="s">
        <v>266</v>
      </c>
      <c r="R115" s="6" t="s">
        <v>107</v>
      </c>
      <c r="S115" s="6" t="s">
        <v>169</v>
      </c>
      <c r="T115" s="6" t="s">
        <v>267</v>
      </c>
      <c r="U115" s="6" t="s">
        <v>139</v>
      </c>
      <c r="V115" s="6"/>
      <c r="W115" s="6" t="s">
        <v>530</v>
      </c>
    </row>
    <row r="116" spans="1:23" x14ac:dyDescent="0.5">
      <c r="B116" s="6">
        <v>114</v>
      </c>
      <c r="C116" s="8">
        <v>44764</v>
      </c>
      <c r="D116" s="6" t="s">
        <v>68</v>
      </c>
      <c r="E116" s="6" t="s">
        <v>52</v>
      </c>
      <c r="F116" s="8">
        <v>44758</v>
      </c>
      <c r="G116" s="6" t="s">
        <v>73</v>
      </c>
      <c r="H116" s="6"/>
      <c r="I116" s="6"/>
      <c r="J116" s="8">
        <v>44764</v>
      </c>
      <c r="K116" s="36">
        <v>45078</v>
      </c>
      <c r="L116" s="8">
        <v>45094</v>
      </c>
      <c r="M116" s="8" t="s">
        <v>518</v>
      </c>
      <c r="N116" s="6" t="s">
        <v>269</v>
      </c>
      <c r="O116" s="8" t="s">
        <v>519</v>
      </c>
      <c r="P116" s="6" t="s">
        <v>269</v>
      </c>
      <c r="Q116" s="6" t="s">
        <v>374</v>
      </c>
      <c r="R116" s="6" t="s">
        <v>321</v>
      </c>
      <c r="S116" s="6" t="s">
        <v>169</v>
      </c>
      <c r="T116" s="6" t="s">
        <v>381</v>
      </c>
      <c r="U116" s="6"/>
      <c r="V116" s="6"/>
      <c r="W116" s="6" t="s">
        <v>528</v>
      </c>
    </row>
    <row r="117" spans="1:23" x14ac:dyDescent="0.5">
      <c r="B117" s="6">
        <v>116</v>
      </c>
      <c r="C117" s="8"/>
      <c r="D117" s="6" t="s">
        <v>122</v>
      </c>
      <c r="E117" s="6" t="s">
        <v>71</v>
      </c>
      <c r="F117" s="8">
        <v>44772</v>
      </c>
      <c r="G117" s="6" t="s">
        <v>281</v>
      </c>
      <c r="H117" s="6"/>
      <c r="I117" s="6"/>
      <c r="J117" s="8">
        <v>44772</v>
      </c>
      <c r="K117" s="36">
        <v>44866</v>
      </c>
      <c r="L117" s="8"/>
      <c r="M117" s="8" t="s">
        <v>531</v>
      </c>
      <c r="N117" s="6" t="s">
        <v>269</v>
      </c>
      <c r="O117" s="8" t="s">
        <v>532</v>
      </c>
      <c r="P117" s="6" t="s">
        <v>269</v>
      </c>
      <c r="Q117" s="6" t="s">
        <v>295</v>
      </c>
      <c r="R117" s="6"/>
      <c r="S117" s="6"/>
      <c r="T117" s="6"/>
      <c r="U117" s="6"/>
      <c r="V117" s="6"/>
      <c r="W117" s="6" t="s">
        <v>533</v>
      </c>
    </row>
    <row r="118" spans="1:23" x14ac:dyDescent="0.5">
      <c r="A118" t="s">
        <v>681</v>
      </c>
      <c r="B118" s="6">
        <v>117</v>
      </c>
      <c r="C118" s="8">
        <v>44779</v>
      </c>
      <c r="D118" s="6" t="s">
        <v>66</v>
      </c>
      <c r="E118" s="6" t="s">
        <v>52</v>
      </c>
      <c r="F118" s="8">
        <v>44769</v>
      </c>
      <c r="G118" s="6" t="s">
        <v>61</v>
      </c>
      <c r="H118" s="6" t="s">
        <v>278</v>
      </c>
      <c r="I118" s="6" t="s">
        <v>534</v>
      </c>
      <c r="J118" s="8">
        <v>44772</v>
      </c>
      <c r="K118" s="36">
        <v>45139</v>
      </c>
      <c r="L118" s="8">
        <v>45151</v>
      </c>
      <c r="M118" s="8" t="s">
        <v>535</v>
      </c>
      <c r="N118" s="6" t="s">
        <v>269</v>
      </c>
      <c r="O118" s="8" t="s">
        <v>536</v>
      </c>
      <c r="P118" s="6" t="s">
        <v>269</v>
      </c>
      <c r="Q118" s="6" t="s">
        <v>328</v>
      </c>
      <c r="R118" s="6" t="s">
        <v>285</v>
      </c>
      <c r="S118" s="6" t="s">
        <v>169</v>
      </c>
      <c r="T118" s="6" t="s">
        <v>267</v>
      </c>
      <c r="U118" s="6"/>
      <c r="V118" s="6"/>
      <c r="W118" s="6" t="s">
        <v>537</v>
      </c>
    </row>
    <row r="119" spans="1:23" x14ac:dyDescent="0.5">
      <c r="A119" t="s">
        <v>682</v>
      </c>
      <c r="B119" s="6">
        <v>107</v>
      </c>
      <c r="C119" s="8">
        <v>44809</v>
      </c>
      <c r="D119" s="6" t="s">
        <v>66</v>
      </c>
      <c r="E119" s="6" t="s">
        <v>71</v>
      </c>
      <c r="F119" s="8">
        <v>44746</v>
      </c>
      <c r="G119" s="6" t="s">
        <v>73</v>
      </c>
      <c r="H119" s="6"/>
      <c r="I119" s="6"/>
      <c r="J119" s="8">
        <v>44773</v>
      </c>
      <c r="K119" s="36">
        <v>45047</v>
      </c>
      <c r="L119" s="8">
        <v>45073</v>
      </c>
      <c r="M119" s="8" t="s">
        <v>501</v>
      </c>
      <c r="N119" s="6" t="s">
        <v>269</v>
      </c>
      <c r="O119" s="8" t="s">
        <v>502</v>
      </c>
      <c r="P119" s="6" t="s">
        <v>269</v>
      </c>
      <c r="Q119" s="6" t="s">
        <v>374</v>
      </c>
      <c r="R119" s="6" t="s">
        <v>285</v>
      </c>
      <c r="S119" s="6" t="s">
        <v>169</v>
      </c>
      <c r="T119" s="6" t="s">
        <v>273</v>
      </c>
      <c r="U119" s="6" t="s">
        <v>133</v>
      </c>
      <c r="V119" s="6" t="s">
        <v>440</v>
      </c>
      <c r="W119" s="6" t="s">
        <v>571</v>
      </c>
    </row>
    <row r="120" spans="1:23" x14ac:dyDescent="0.5">
      <c r="B120" s="6">
        <v>115</v>
      </c>
      <c r="C120" s="8"/>
      <c r="D120" s="6" t="s">
        <v>281</v>
      </c>
      <c r="E120" s="6" t="s">
        <v>71</v>
      </c>
      <c r="F120" s="8">
        <v>44759</v>
      </c>
      <c r="G120" s="6" t="s">
        <v>61</v>
      </c>
      <c r="H120" s="6" t="s">
        <v>77</v>
      </c>
      <c r="I120" s="6"/>
      <c r="J120" s="8">
        <v>44773</v>
      </c>
      <c r="K120" s="36">
        <v>45139</v>
      </c>
      <c r="L120" s="8">
        <v>45530</v>
      </c>
      <c r="M120" s="8" t="s">
        <v>520</v>
      </c>
      <c r="N120" s="6" t="s">
        <v>301</v>
      </c>
      <c r="O120" s="8" t="s">
        <v>538</v>
      </c>
      <c r="P120" s="6" t="s">
        <v>301</v>
      </c>
      <c r="Q120" s="6" t="s">
        <v>374</v>
      </c>
      <c r="R120" s="6" t="s">
        <v>107</v>
      </c>
      <c r="S120" s="6" t="s">
        <v>539</v>
      </c>
      <c r="T120" s="6" t="s">
        <v>273</v>
      </c>
      <c r="U120" s="6" t="s">
        <v>274</v>
      </c>
      <c r="V120" s="6"/>
      <c r="W120" s="6" t="s">
        <v>556</v>
      </c>
    </row>
    <row r="121" spans="1:23" x14ac:dyDescent="0.5">
      <c r="A121" t="s">
        <v>681</v>
      </c>
      <c r="B121" s="6">
        <v>120</v>
      </c>
      <c r="C121" s="8">
        <v>44826</v>
      </c>
      <c r="D121" s="6" t="s">
        <v>66</v>
      </c>
      <c r="E121" s="6" t="s">
        <v>52</v>
      </c>
      <c r="F121" s="8">
        <v>44774</v>
      </c>
      <c r="G121" s="6" t="s">
        <v>281</v>
      </c>
      <c r="H121" s="6"/>
      <c r="I121" s="6"/>
      <c r="J121" s="8">
        <v>44775</v>
      </c>
      <c r="K121" s="36">
        <v>45139</v>
      </c>
      <c r="L121" s="8">
        <v>45152</v>
      </c>
      <c r="M121" s="8" t="s">
        <v>542</v>
      </c>
      <c r="N121" s="6" t="s">
        <v>275</v>
      </c>
      <c r="O121" s="8" t="s">
        <v>543</v>
      </c>
      <c r="P121" s="6" t="s">
        <v>269</v>
      </c>
      <c r="Q121" s="6" t="s">
        <v>266</v>
      </c>
      <c r="R121" s="6" t="s">
        <v>106</v>
      </c>
      <c r="S121" s="6" t="s">
        <v>169</v>
      </c>
      <c r="T121" s="6" t="s">
        <v>381</v>
      </c>
      <c r="U121" s="6" t="s">
        <v>406</v>
      </c>
      <c r="V121" s="6" t="s">
        <v>133</v>
      </c>
      <c r="W121" s="6" t="s">
        <v>578</v>
      </c>
    </row>
    <row r="122" spans="1:23" x14ac:dyDescent="0.5">
      <c r="A122" t="s">
        <v>684</v>
      </c>
      <c r="B122" s="65">
        <v>118</v>
      </c>
      <c r="C122" s="64"/>
      <c r="D122" s="65" t="s">
        <v>118</v>
      </c>
      <c r="E122" s="65" t="s">
        <v>52</v>
      </c>
      <c r="F122" s="64">
        <v>44773</v>
      </c>
      <c r="G122" s="65" t="s">
        <v>258</v>
      </c>
      <c r="H122" s="65"/>
      <c r="I122" s="65"/>
      <c r="J122" s="64">
        <v>44784</v>
      </c>
      <c r="K122" s="66"/>
      <c r="L122" s="64"/>
      <c r="M122" s="64" t="s">
        <v>547</v>
      </c>
      <c r="N122" s="65" t="s">
        <v>269</v>
      </c>
      <c r="O122" s="64" t="s">
        <v>548</v>
      </c>
      <c r="P122" s="65" t="s">
        <v>275</v>
      </c>
      <c r="Q122" s="65" t="s">
        <v>374</v>
      </c>
      <c r="R122" s="65" t="s">
        <v>285</v>
      </c>
      <c r="S122" s="65" t="s">
        <v>169</v>
      </c>
      <c r="T122" s="65" t="s">
        <v>267</v>
      </c>
      <c r="U122" s="65" t="s">
        <v>440</v>
      </c>
      <c r="V122" s="65" t="s">
        <v>135</v>
      </c>
      <c r="W122" s="65" t="s">
        <v>565</v>
      </c>
    </row>
    <row r="123" spans="1:23" x14ac:dyDescent="0.5">
      <c r="A123" t="s">
        <v>681</v>
      </c>
      <c r="B123" s="6">
        <v>121</v>
      </c>
      <c r="C123" s="8"/>
      <c r="D123" s="6" t="s">
        <v>118</v>
      </c>
      <c r="E123" s="6" t="s">
        <v>52</v>
      </c>
      <c r="F123" s="8">
        <v>44780</v>
      </c>
      <c r="G123" s="6" t="s">
        <v>61</v>
      </c>
      <c r="H123" s="6" t="s">
        <v>278</v>
      </c>
      <c r="I123" s="6" t="s">
        <v>337</v>
      </c>
      <c r="J123" s="8">
        <v>44787</v>
      </c>
      <c r="K123" s="36"/>
      <c r="L123" s="8"/>
      <c r="M123" s="8" t="s">
        <v>553</v>
      </c>
      <c r="N123" s="6" t="s">
        <v>269</v>
      </c>
      <c r="O123" s="8" t="s">
        <v>545</v>
      </c>
      <c r="P123" s="6" t="s">
        <v>269</v>
      </c>
      <c r="Q123" s="6" t="s">
        <v>332</v>
      </c>
      <c r="R123" s="6" t="s">
        <v>106</v>
      </c>
      <c r="S123" s="6"/>
      <c r="T123" s="6" t="s">
        <v>267</v>
      </c>
      <c r="U123" s="6"/>
      <c r="V123" s="6"/>
      <c r="W123" s="6" t="s">
        <v>554</v>
      </c>
    </row>
    <row r="124" spans="1:23" x14ac:dyDescent="0.5">
      <c r="A124" t="s">
        <v>681</v>
      </c>
      <c r="B124" s="65">
        <v>119</v>
      </c>
      <c r="C124" s="64"/>
      <c r="D124" s="65" t="s">
        <v>118</v>
      </c>
      <c r="E124" s="65" t="s">
        <v>71</v>
      </c>
      <c r="F124" s="64">
        <v>44774</v>
      </c>
      <c r="G124" s="65" t="s">
        <v>61</v>
      </c>
      <c r="H124" s="65" t="s">
        <v>278</v>
      </c>
      <c r="I124" s="65" t="s">
        <v>79</v>
      </c>
      <c r="J124" s="64">
        <v>44789</v>
      </c>
      <c r="K124" s="66">
        <v>44835</v>
      </c>
      <c r="L124" s="64"/>
      <c r="M124" s="64" t="s">
        <v>557</v>
      </c>
      <c r="N124" s="65" t="s">
        <v>275</v>
      </c>
      <c r="O124" s="64" t="s">
        <v>541</v>
      </c>
      <c r="P124" s="65" t="s">
        <v>275</v>
      </c>
      <c r="Q124" s="65" t="s">
        <v>295</v>
      </c>
      <c r="R124" s="65" t="s">
        <v>107</v>
      </c>
      <c r="S124" s="65"/>
      <c r="T124" s="65" t="s">
        <v>267</v>
      </c>
      <c r="U124" s="65"/>
      <c r="V124" s="65"/>
      <c r="W124" s="65" t="s">
        <v>582</v>
      </c>
    </row>
    <row r="125" spans="1:23" x14ac:dyDescent="0.5">
      <c r="A125" t="s">
        <v>683</v>
      </c>
      <c r="B125" s="6">
        <v>122</v>
      </c>
      <c r="C125" s="8">
        <v>44798</v>
      </c>
      <c r="D125" s="6" t="s">
        <v>66</v>
      </c>
      <c r="E125" s="6" t="s">
        <v>70</v>
      </c>
      <c r="F125" s="8">
        <v>44782</v>
      </c>
      <c r="G125" s="6" t="s">
        <v>61</v>
      </c>
      <c r="H125" s="6" t="s">
        <v>278</v>
      </c>
      <c r="I125" s="6" t="s">
        <v>79</v>
      </c>
      <c r="J125" s="8">
        <v>44793</v>
      </c>
      <c r="K125" s="36">
        <v>45139</v>
      </c>
      <c r="L125" s="8">
        <v>45164</v>
      </c>
      <c r="M125" s="8" t="s">
        <v>560</v>
      </c>
      <c r="N125" s="6" t="s">
        <v>275</v>
      </c>
      <c r="O125" s="8" t="s">
        <v>544</v>
      </c>
      <c r="P125" s="6" t="s">
        <v>301</v>
      </c>
      <c r="Q125" s="6" t="s">
        <v>328</v>
      </c>
      <c r="R125" s="6" t="s">
        <v>107</v>
      </c>
      <c r="S125" s="6" t="s">
        <v>169</v>
      </c>
      <c r="T125" s="6" t="s">
        <v>273</v>
      </c>
      <c r="U125" s="6" t="s">
        <v>440</v>
      </c>
      <c r="V125" s="6"/>
      <c r="W125" s="6" t="s">
        <v>561</v>
      </c>
    </row>
    <row r="126" spans="1:23" x14ac:dyDescent="0.5">
      <c r="A126" t="s">
        <v>686</v>
      </c>
      <c r="B126" s="6">
        <v>127</v>
      </c>
      <c r="C126" s="8"/>
      <c r="D126" s="6" t="s">
        <v>118</v>
      </c>
      <c r="E126" s="6" t="s">
        <v>52</v>
      </c>
      <c r="F126" s="8">
        <v>44792</v>
      </c>
      <c r="G126" s="6" t="s">
        <v>61</v>
      </c>
      <c r="H126" s="6" t="s">
        <v>278</v>
      </c>
      <c r="I126" s="6" t="s">
        <v>79</v>
      </c>
      <c r="J126" s="8">
        <v>44795</v>
      </c>
      <c r="K126" s="36"/>
      <c r="L126" s="8"/>
      <c r="M126" s="8" t="s">
        <v>559</v>
      </c>
      <c r="N126" s="6" t="s">
        <v>269</v>
      </c>
      <c r="O126" s="8" t="s">
        <v>563</v>
      </c>
      <c r="P126" s="6" t="s">
        <v>269</v>
      </c>
      <c r="Q126" s="6" t="s">
        <v>328</v>
      </c>
      <c r="R126" s="6" t="s">
        <v>272</v>
      </c>
      <c r="S126" s="6"/>
      <c r="T126" s="6" t="s">
        <v>286</v>
      </c>
      <c r="U126" s="6" t="s">
        <v>133</v>
      </c>
      <c r="V126" s="6" t="s">
        <v>139</v>
      </c>
      <c r="W126" s="6" t="s">
        <v>564</v>
      </c>
    </row>
    <row r="127" spans="1:23" x14ac:dyDescent="0.5">
      <c r="A127" t="s">
        <v>684</v>
      </c>
      <c r="B127" s="6">
        <v>124</v>
      </c>
      <c r="C127" s="8">
        <v>44803</v>
      </c>
      <c r="D127" s="6" t="s">
        <v>66</v>
      </c>
      <c r="E127" s="6" t="s">
        <v>71</v>
      </c>
      <c r="F127" s="8">
        <v>44784</v>
      </c>
      <c r="G127" s="6" t="s">
        <v>281</v>
      </c>
      <c r="H127" s="6"/>
      <c r="I127" s="6"/>
      <c r="J127" s="8">
        <v>44796</v>
      </c>
      <c r="K127" s="36">
        <v>45170</v>
      </c>
      <c r="L127" s="8">
        <v>45199</v>
      </c>
      <c r="M127" s="8" t="s">
        <v>549</v>
      </c>
      <c r="N127" s="6" t="s">
        <v>269</v>
      </c>
      <c r="O127" s="8" t="s">
        <v>550</v>
      </c>
      <c r="P127" s="6" t="s">
        <v>269</v>
      </c>
      <c r="Q127" s="6" t="s">
        <v>328</v>
      </c>
      <c r="R127" s="6" t="s">
        <v>272</v>
      </c>
      <c r="S127" s="6" t="s">
        <v>169</v>
      </c>
      <c r="T127" s="6" t="s">
        <v>273</v>
      </c>
      <c r="U127" s="6" t="s">
        <v>290</v>
      </c>
      <c r="V127" s="6"/>
      <c r="W127" s="6" t="s">
        <v>566</v>
      </c>
    </row>
    <row r="128" spans="1:23" x14ac:dyDescent="0.5">
      <c r="B128" s="6">
        <v>125</v>
      </c>
      <c r="C128" s="8"/>
      <c r="D128" s="6"/>
      <c r="E128" s="6"/>
      <c r="F128" s="8">
        <v>44786</v>
      </c>
      <c r="G128" s="6" t="s">
        <v>61</v>
      </c>
      <c r="H128" s="6" t="s">
        <v>65</v>
      </c>
      <c r="I128" s="6"/>
      <c r="J128" s="8"/>
      <c r="K128" s="36"/>
      <c r="L128" s="8"/>
      <c r="M128" s="8"/>
      <c r="N128" s="6"/>
      <c r="O128" s="8" t="s">
        <v>551</v>
      </c>
      <c r="P128" s="6"/>
      <c r="Q128" s="6"/>
      <c r="R128" s="6"/>
      <c r="S128" s="6"/>
      <c r="T128" s="6"/>
      <c r="U128" s="6"/>
      <c r="V128" s="6"/>
      <c r="W128" s="6"/>
    </row>
    <row r="129" spans="1:23" x14ac:dyDescent="0.5">
      <c r="B129" s="6">
        <v>126</v>
      </c>
      <c r="C129" s="8"/>
      <c r="D129" s="6"/>
      <c r="E129" s="6"/>
      <c r="F129" s="8">
        <v>44789</v>
      </c>
      <c r="G129" s="6" t="s">
        <v>61</v>
      </c>
      <c r="H129" s="6" t="s">
        <v>65</v>
      </c>
      <c r="I129" s="6"/>
      <c r="J129" s="8"/>
      <c r="K129" s="36"/>
      <c r="L129" s="8"/>
      <c r="M129" s="8"/>
      <c r="N129" s="6"/>
      <c r="O129" s="8" t="s">
        <v>555</v>
      </c>
      <c r="P129" s="6"/>
      <c r="Q129" s="6"/>
      <c r="R129" s="6"/>
      <c r="S129" s="6"/>
      <c r="T129" s="6"/>
      <c r="U129" s="6"/>
      <c r="V129" s="6"/>
      <c r="W129" s="6"/>
    </row>
    <row r="130" spans="1:23" x14ac:dyDescent="0.5">
      <c r="A130" t="s">
        <v>681</v>
      </c>
      <c r="B130" s="6">
        <v>129</v>
      </c>
      <c r="C130" s="8"/>
      <c r="D130" s="6" t="s">
        <v>118</v>
      </c>
      <c r="E130" s="6" t="s">
        <v>70</v>
      </c>
      <c r="F130" s="8">
        <v>44792</v>
      </c>
      <c r="G130" s="6" t="s">
        <v>61</v>
      </c>
      <c r="H130" s="6" t="s">
        <v>278</v>
      </c>
      <c r="I130" s="6" t="s">
        <v>79</v>
      </c>
      <c r="J130" s="8">
        <v>44798</v>
      </c>
      <c r="K130" s="36">
        <v>45047</v>
      </c>
      <c r="L130" s="8"/>
      <c r="M130" s="8" t="s">
        <v>568</v>
      </c>
      <c r="N130" s="6" t="s">
        <v>275</v>
      </c>
      <c r="O130" s="8" t="s">
        <v>569</v>
      </c>
      <c r="P130" s="6" t="s">
        <v>275</v>
      </c>
      <c r="Q130" s="6" t="s">
        <v>271</v>
      </c>
      <c r="R130" s="6" t="s">
        <v>107</v>
      </c>
      <c r="S130" s="6" t="s">
        <v>169</v>
      </c>
      <c r="T130" s="6" t="s">
        <v>267</v>
      </c>
      <c r="U130" s="6"/>
      <c r="V130" s="6"/>
      <c r="W130" s="6" t="s">
        <v>570</v>
      </c>
    </row>
    <row r="131" spans="1:23" x14ac:dyDescent="0.5">
      <c r="B131" s="6">
        <v>128</v>
      </c>
      <c r="C131" s="8"/>
      <c r="D131" s="6"/>
      <c r="E131" s="6"/>
      <c r="F131" s="8">
        <v>44796</v>
      </c>
      <c r="G131" s="6" t="s">
        <v>61</v>
      </c>
      <c r="H131" s="6" t="s">
        <v>65</v>
      </c>
      <c r="I131" s="6"/>
      <c r="J131" s="8"/>
      <c r="K131" s="36"/>
      <c r="L131" s="8"/>
      <c r="M131" s="8"/>
      <c r="N131" s="6"/>
      <c r="O131" s="8" t="s">
        <v>567</v>
      </c>
      <c r="P131" s="6"/>
      <c r="Q131" s="6"/>
      <c r="R131" s="6"/>
      <c r="S131" s="6"/>
      <c r="T131" s="6"/>
      <c r="U131" s="6"/>
      <c r="V131" s="6"/>
      <c r="W131" s="6"/>
    </row>
    <row r="132" spans="1:23" x14ac:dyDescent="0.5">
      <c r="B132" s="6">
        <v>123</v>
      </c>
      <c r="C132" s="8"/>
      <c r="D132" s="6" t="s">
        <v>118</v>
      </c>
      <c r="E132" s="6" t="s">
        <v>52</v>
      </c>
      <c r="F132" s="8">
        <v>44782</v>
      </c>
      <c r="G132" s="6" t="s">
        <v>61</v>
      </c>
      <c r="H132" s="6" t="s">
        <v>65</v>
      </c>
      <c r="I132" s="6" t="s">
        <v>336</v>
      </c>
      <c r="J132" s="8">
        <v>44807</v>
      </c>
      <c r="K132" s="36">
        <v>45017</v>
      </c>
      <c r="L132" s="8">
        <v>45044</v>
      </c>
      <c r="M132" s="8" t="s">
        <v>574</v>
      </c>
      <c r="N132" s="6" t="s">
        <v>275</v>
      </c>
      <c r="O132" s="8" t="s">
        <v>546</v>
      </c>
      <c r="P132" s="6" t="s">
        <v>275</v>
      </c>
      <c r="Q132" s="6" t="s">
        <v>266</v>
      </c>
      <c r="R132" s="6" t="s">
        <v>107</v>
      </c>
      <c r="S132" s="6" t="s">
        <v>220</v>
      </c>
      <c r="T132" s="6" t="s">
        <v>381</v>
      </c>
      <c r="U132" s="6" t="s">
        <v>274</v>
      </c>
      <c r="V132" s="6" t="s">
        <v>139</v>
      </c>
      <c r="W132" s="6" t="s">
        <v>575</v>
      </c>
    </row>
    <row r="133" spans="1:23" x14ac:dyDescent="0.5">
      <c r="A133" t="s">
        <v>681</v>
      </c>
      <c r="B133" s="65">
        <v>130</v>
      </c>
      <c r="C133" s="64"/>
      <c r="D133" s="65" t="s">
        <v>118</v>
      </c>
      <c r="E133" s="65" t="s">
        <v>71</v>
      </c>
      <c r="F133" s="64">
        <v>44805</v>
      </c>
      <c r="G133" s="65" t="s">
        <v>61</v>
      </c>
      <c r="H133" s="65" t="s">
        <v>278</v>
      </c>
      <c r="I133" s="65" t="s">
        <v>338</v>
      </c>
      <c r="J133" s="64">
        <v>44808</v>
      </c>
      <c r="K133" s="66">
        <v>45047</v>
      </c>
      <c r="L133" s="64"/>
      <c r="M133" s="64" t="s">
        <v>576</v>
      </c>
      <c r="N133" s="65" t="s">
        <v>275</v>
      </c>
      <c r="O133" s="64" t="s">
        <v>573</v>
      </c>
      <c r="P133" s="65" t="s">
        <v>275</v>
      </c>
      <c r="Q133" s="65" t="s">
        <v>271</v>
      </c>
      <c r="R133" s="65" t="s">
        <v>272</v>
      </c>
      <c r="S133" s="65" t="s">
        <v>169</v>
      </c>
      <c r="T133" s="65" t="s">
        <v>267</v>
      </c>
      <c r="U133" s="65"/>
      <c r="V133" s="65"/>
      <c r="W133" s="65" t="s">
        <v>663</v>
      </c>
    </row>
    <row r="134" spans="1:23" x14ac:dyDescent="0.5">
      <c r="A134" t="s">
        <v>684</v>
      </c>
      <c r="B134" s="65">
        <v>134</v>
      </c>
      <c r="C134" s="64"/>
      <c r="D134" s="65" t="s">
        <v>118</v>
      </c>
      <c r="E134" s="65" t="s">
        <v>71</v>
      </c>
      <c r="F134" s="64">
        <v>44810</v>
      </c>
      <c r="G134" s="65" t="s">
        <v>61</v>
      </c>
      <c r="H134" s="65" t="s">
        <v>278</v>
      </c>
      <c r="I134" s="65" t="s">
        <v>336</v>
      </c>
      <c r="J134" s="64">
        <v>44813</v>
      </c>
      <c r="K134" s="66"/>
      <c r="L134" s="64"/>
      <c r="M134" s="64" t="s">
        <v>583</v>
      </c>
      <c r="N134" s="65" t="s">
        <v>269</v>
      </c>
      <c r="O134" s="64" t="s">
        <v>580</v>
      </c>
      <c r="P134" s="65" t="s">
        <v>269</v>
      </c>
      <c r="Q134" s="65" t="s">
        <v>266</v>
      </c>
      <c r="R134" s="65" t="s">
        <v>106</v>
      </c>
      <c r="S134" s="65"/>
      <c r="T134" s="65" t="s">
        <v>267</v>
      </c>
      <c r="U134" s="65" t="s">
        <v>139</v>
      </c>
      <c r="V134" s="65"/>
      <c r="W134" s="65" t="s">
        <v>664</v>
      </c>
    </row>
    <row r="135" spans="1:23" x14ac:dyDescent="0.5">
      <c r="B135" s="60">
        <v>132</v>
      </c>
      <c r="C135" s="61"/>
      <c r="D135" s="60"/>
      <c r="E135" s="60"/>
      <c r="F135" s="61">
        <v>44809</v>
      </c>
      <c r="G135" s="60" t="s">
        <v>61</v>
      </c>
      <c r="H135" s="60" t="s">
        <v>278</v>
      </c>
      <c r="I135" s="60" t="s">
        <v>336</v>
      </c>
      <c r="J135" s="61"/>
      <c r="K135" s="62"/>
      <c r="L135" s="61"/>
      <c r="M135" s="61"/>
      <c r="N135" s="60"/>
      <c r="O135" s="61" t="s">
        <v>577</v>
      </c>
      <c r="P135" s="60"/>
      <c r="Q135" s="60"/>
      <c r="R135" s="60"/>
      <c r="S135" s="60"/>
      <c r="T135" s="60"/>
      <c r="U135" s="60"/>
      <c r="V135" s="60"/>
      <c r="W135" s="63" t="s">
        <v>603</v>
      </c>
    </row>
    <row r="136" spans="1:23" x14ac:dyDescent="0.5">
      <c r="A136" t="s">
        <v>685</v>
      </c>
      <c r="B136" s="6">
        <v>137</v>
      </c>
      <c r="C136" s="8">
        <v>44815</v>
      </c>
      <c r="D136" s="6" t="s">
        <v>66</v>
      </c>
      <c r="E136" s="6" t="s">
        <v>71</v>
      </c>
      <c r="F136" s="8">
        <v>44813</v>
      </c>
      <c r="G136" s="6" t="s">
        <v>5</v>
      </c>
      <c r="H136" s="6"/>
      <c r="I136" s="6"/>
      <c r="J136" s="8">
        <v>44814</v>
      </c>
      <c r="K136" s="36">
        <v>45078</v>
      </c>
      <c r="L136" s="8">
        <v>45087</v>
      </c>
      <c r="M136" s="8" t="s">
        <v>585</v>
      </c>
      <c r="N136" s="6" t="s">
        <v>301</v>
      </c>
      <c r="O136" s="8" t="s">
        <v>586</v>
      </c>
      <c r="P136" s="6" t="s">
        <v>301</v>
      </c>
      <c r="Q136" s="6" t="s">
        <v>374</v>
      </c>
      <c r="R136" s="6" t="s">
        <v>107</v>
      </c>
      <c r="S136" s="6" t="s">
        <v>169</v>
      </c>
      <c r="T136" s="6" t="s">
        <v>273</v>
      </c>
      <c r="U136" s="6" t="s">
        <v>281</v>
      </c>
      <c r="V136" s="6"/>
      <c r="W136" s="6" t="s">
        <v>605</v>
      </c>
    </row>
    <row r="137" spans="1:23" x14ac:dyDescent="0.5">
      <c r="A137" t="s">
        <v>685</v>
      </c>
      <c r="B137" s="65">
        <v>131</v>
      </c>
      <c r="C137" s="64"/>
      <c r="D137" s="65" t="s">
        <v>118</v>
      </c>
      <c r="E137" s="65" t="s">
        <v>71</v>
      </c>
      <c r="F137" s="64">
        <v>44808</v>
      </c>
      <c r="G137" s="65" t="s">
        <v>61</v>
      </c>
      <c r="H137" s="65" t="s">
        <v>278</v>
      </c>
      <c r="I137" s="65" t="s">
        <v>79</v>
      </c>
      <c r="J137" s="64">
        <v>44815</v>
      </c>
      <c r="K137" s="66"/>
      <c r="L137" s="64"/>
      <c r="M137" s="64" t="s">
        <v>555</v>
      </c>
      <c r="N137" s="65" t="s">
        <v>301</v>
      </c>
      <c r="O137" s="64" t="s">
        <v>587</v>
      </c>
      <c r="P137" s="65" t="s">
        <v>301</v>
      </c>
      <c r="Q137" s="65" t="s">
        <v>328</v>
      </c>
      <c r="R137" s="65"/>
      <c r="S137" s="65" t="s">
        <v>169</v>
      </c>
      <c r="T137" s="65" t="s">
        <v>267</v>
      </c>
      <c r="U137" s="65"/>
      <c r="V137" s="65"/>
      <c r="W137" s="65" t="s">
        <v>665</v>
      </c>
    </row>
    <row r="138" spans="1:23" x14ac:dyDescent="0.5">
      <c r="B138" s="60">
        <v>135</v>
      </c>
      <c r="C138" s="61"/>
      <c r="D138" s="60"/>
      <c r="E138" s="60"/>
      <c r="F138" s="61">
        <v>44811</v>
      </c>
      <c r="G138" s="60" t="s">
        <v>73</v>
      </c>
      <c r="H138" s="60"/>
      <c r="I138" s="60"/>
      <c r="J138" s="61"/>
      <c r="K138" s="62"/>
      <c r="L138" s="61"/>
      <c r="M138" s="61" t="s">
        <v>581</v>
      </c>
      <c r="N138" s="60"/>
      <c r="O138" s="61"/>
      <c r="P138" s="60"/>
      <c r="Q138" s="60"/>
      <c r="R138" s="60"/>
      <c r="S138" s="60"/>
      <c r="T138" s="60" t="s">
        <v>273</v>
      </c>
      <c r="U138" s="60" t="s">
        <v>145</v>
      </c>
      <c r="V138" s="60"/>
      <c r="W138" s="60" t="s">
        <v>604</v>
      </c>
    </row>
    <row r="139" spans="1:23" x14ac:dyDescent="0.5">
      <c r="A139" t="s">
        <v>682</v>
      </c>
      <c r="B139" s="6">
        <v>136</v>
      </c>
      <c r="C139" s="8"/>
      <c r="D139" s="6" t="s">
        <v>261</v>
      </c>
      <c r="E139" s="6" t="s">
        <v>71</v>
      </c>
      <c r="F139" s="8">
        <v>44814</v>
      </c>
      <c r="G139" s="6" t="s">
        <v>61</v>
      </c>
      <c r="H139" s="6" t="s">
        <v>278</v>
      </c>
      <c r="I139" s="6" t="s">
        <v>79</v>
      </c>
      <c r="J139" s="8">
        <v>44819</v>
      </c>
      <c r="K139" s="36">
        <v>45047</v>
      </c>
      <c r="L139" s="8">
        <v>45059</v>
      </c>
      <c r="M139" s="8" t="s">
        <v>591</v>
      </c>
      <c r="N139" s="6" t="s">
        <v>301</v>
      </c>
      <c r="O139" s="8" t="s">
        <v>584</v>
      </c>
      <c r="P139" s="6" t="s">
        <v>301</v>
      </c>
      <c r="Q139" s="6" t="s">
        <v>320</v>
      </c>
      <c r="R139" s="6" t="s">
        <v>285</v>
      </c>
      <c r="S139" s="6" t="s">
        <v>169</v>
      </c>
      <c r="T139" s="6" t="s">
        <v>267</v>
      </c>
      <c r="U139" s="6" t="s">
        <v>480</v>
      </c>
      <c r="V139" s="6"/>
      <c r="W139" s="6" t="s">
        <v>619</v>
      </c>
    </row>
    <row r="140" spans="1:23" x14ac:dyDescent="0.5">
      <c r="A140" t="s">
        <v>681</v>
      </c>
      <c r="B140" s="65">
        <v>139</v>
      </c>
      <c r="C140" s="64"/>
      <c r="D140" s="65" t="s">
        <v>118</v>
      </c>
      <c r="E140" s="65" t="s">
        <v>70</v>
      </c>
      <c r="F140" s="64">
        <v>44818</v>
      </c>
      <c r="G140" s="65" t="s">
        <v>72</v>
      </c>
      <c r="H140" s="65"/>
      <c r="I140" s="65"/>
      <c r="J140" s="64">
        <v>44819</v>
      </c>
      <c r="K140" s="66">
        <v>44835</v>
      </c>
      <c r="L140" s="64"/>
      <c r="M140" s="64" t="s">
        <v>589</v>
      </c>
      <c r="N140" s="65" t="s">
        <v>269</v>
      </c>
      <c r="O140" s="64" t="s">
        <v>590</v>
      </c>
      <c r="P140" s="65" t="s">
        <v>269</v>
      </c>
      <c r="Q140" s="65"/>
      <c r="R140" s="65" t="s">
        <v>106</v>
      </c>
      <c r="S140" s="65"/>
      <c r="T140" s="65" t="s">
        <v>267</v>
      </c>
      <c r="U140" s="65"/>
      <c r="V140" s="65"/>
      <c r="W140" s="65" t="s">
        <v>597</v>
      </c>
    </row>
    <row r="141" spans="1:23" x14ac:dyDescent="0.5">
      <c r="A141" t="s">
        <v>686</v>
      </c>
      <c r="B141" s="6">
        <v>140</v>
      </c>
      <c r="C141" s="8">
        <v>44823</v>
      </c>
      <c r="D141" s="6" t="s">
        <v>66</v>
      </c>
      <c r="E141" s="6" t="s">
        <v>70</v>
      </c>
      <c r="F141" s="8">
        <v>44815</v>
      </c>
      <c r="G141" s="6" t="s">
        <v>61</v>
      </c>
      <c r="H141" s="6" t="s">
        <v>278</v>
      </c>
      <c r="I141" s="6" t="s">
        <v>79</v>
      </c>
      <c r="J141" s="8">
        <v>44821</v>
      </c>
      <c r="K141" s="36">
        <v>45170</v>
      </c>
      <c r="L141" s="8">
        <v>45185</v>
      </c>
      <c r="M141" s="8" t="s">
        <v>592</v>
      </c>
      <c r="N141" s="6" t="s">
        <v>316</v>
      </c>
      <c r="O141" s="8" t="s">
        <v>593</v>
      </c>
      <c r="P141" s="6" t="s">
        <v>269</v>
      </c>
      <c r="Q141" s="6" t="s">
        <v>266</v>
      </c>
      <c r="R141" s="6"/>
      <c r="S141" s="6" t="s">
        <v>169</v>
      </c>
      <c r="T141" s="6" t="s">
        <v>267</v>
      </c>
      <c r="U141" s="6"/>
      <c r="V141" s="6"/>
      <c r="W141" s="6" t="s">
        <v>594</v>
      </c>
    </row>
    <row r="142" spans="1:23" x14ac:dyDescent="0.5">
      <c r="A142" t="s">
        <v>682</v>
      </c>
      <c r="B142" s="6">
        <v>138</v>
      </c>
      <c r="C142" s="8">
        <v>44847</v>
      </c>
      <c r="D142" s="6" t="s">
        <v>67</v>
      </c>
      <c r="E142" s="6" t="s">
        <v>70</v>
      </c>
      <c r="F142" s="8">
        <v>44818</v>
      </c>
      <c r="G142" s="6" t="s">
        <v>61</v>
      </c>
      <c r="H142" s="6" t="s">
        <v>278</v>
      </c>
      <c r="I142" s="6" t="s">
        <v>79</v>
      </c>
      <c r="J142" s="8">
        <v>44825</v>
      </c>
      <c r="K142" s="36">
        <v>45078</v>
      </c>
      <c r="L142" s="8">
        <v>45080</v>
      </c>
      <c r="M142" s="8" t="s">
        <v>595</v>
      </c>
      <c r="N142" s="6" t="s">
        <v>269</v>
      </c>
      <c r="O142" s="8" t="s">
        <v>588</v>
      </c>
      <c r="P142" s="6" t="s">
        <v>269</v>
      </c>
      <c r="Q142" s="6" t="s">
        <v>401</v>
      </c>
      <c r="R142" s="6" t="s">
        <v>321</v>
      </c>
      <c r="S142" s="6" t="s">
        <v>169</v>
      </c>
      <c r="T142" s="6" t="s">
        <v>267</v>
      </c>
      <c r="U142" s="6" t="s">
        <v>411</v>
      </c>
      <c r="V142" s="6" t="s">
        <v>480</v>
      </c>
      <c r="W142" s="6" t="s">
        <v>596</v>
      </c>
    </row>
    <row r="143" spans="1:23" x14ac:dyDescent="0.5">
      <c r="A143" t="s">
        <v>683</v>
      </c>
      <c r="B143" s="65">
        <v>133</v>
      </c>
      <c r="C143" s="64"/>
      <c r="D143" s="65" t="s">
        <v>118</v>
      </c>
      <c r="E143" s="65" t="s">
        <v>70</v>
      </c>
      <c r="F143" s="64">
        <v>44810</v>
      </c>
      <c r="G143" s="65" t="s">
        <v>61</v>
      </c>
      <c r="H143" s="65" t="s">
        <v>278</v>
      </c>
      <c r="I143" s="65" t="s">
        <v>254</v>
      </c>
      <c r="J143" s="64">
        <v>44829</v>
      </c>
      <c r="K143" s="66">
        <v>45170</v>
      </c>
      <c r="L143" s="64"/>
      <c r="M143" s="64" t="s">
        <v>579</v>
      </c>
      <c r="N143" s="65" t="s">
        <v>301</v>
      </c>
      <c r="O143" s="64" t="s">
        <v>600</v>
      </c>
      <c r="P143" s="65" t="s">
        <v>301</v>
      </c>
      <c r="Q143" s="65" t="s">
        <v>320</v>
      </c>
      <c r="R143" s="65" t="s">
        <v>397</v>
      </c>
      <c r="S143" s="65" t="s">
        <v>169</v>
      </c>
      <c r="T143" s="65" t="s">
        <v>381</v>
      </c>
      <c r="U143" s="65" t="s">
        <v>135</v>
      </c>
      <c r="V143" s="65" t="s">
        <v>290</v>
      </c>
      <c r="W143" s="65" t="s">
        <v>653</v>
      </c>
    </row>
    <row r="144" spans="1:23" x14ac:dyDescent="0.5">
      <c r="B144" s="6">
        <v>141</v>
      </c>
      <c r="C144" s="8"/>
      <c r="D144" s="6"/>
      <c r="E144" s="6"/>
      <c r="F144" s="8">
        <v>44828</v>
      </c>
      <c r="G144" s="6" t="s">
        <v>61</v>
      </c>
      <c r="H144" s="6" t="s">
        <v>65</v>
      </c>
      <c r="I144" s="6"/>
      <c r="J144" s="8"/>
      <c r="K144" s="36"/>
      <c r="L144" s="8"/>
      <c r="M144" s="8"/>
      <c r="N144" s="6"/>
      <c r="O144" s="8" t="s">
        <v>598</v>
      </c>
      <c r="P144" s="6"/>
      <c r="Q144" s="6"/>
      <c r="R144" s="6"/>
      <c r="S144" s="6"/>
      <c r="T144" s="6"/>
      <c r="U144" s="6"/>
      <c r="V144" s="6"/>
      <c r="W144" s="6" t="s">
        <v>599</v>
      </c>
    </row>
    <row r="145" spans="1:23" x14ac:dyDescent="0.5">
      <c r="A145" t="s">
        <v>686</v>
      </c>
      <c r="B145" s="65">
        <v>145</v>
      </c>
      <c r="C145" s="64"/>
      <c r="D145" s="65" t="s">
        <v>118</v>
      </c>
      <c r="E145" s="65" t="s">
        <v>71</v>
      </c>
      <c r="F145" s="64">
        <v>44835</v>
      </c>
      <c r="G145" s="65" t="s">
        <v>258</v>
      </c>
      <c r="H145" s="65"/>
      <c r="I145" s="65"/>
      <c r="J145" s="64">
        <v>44838</v>
      </c>
      <c r="K145" s="66">
        <v>45078</v>
      </c>
      <c r="L145" s="64"/>
      <c r="M145" s="64" t="s">
        <v>608</v>
      </c>
      <c r="N145" s="65" t="s">
        <v>269</v>
      </c>
      <c r="O145" s="64" t="s">
        <v>609</v>
      </c>
      <c r="P145" s="65" t="s">
        <v>269</v>
      </c>
      <c r="Q145" s="65" t="s">
        <v>266</v>
      </c>
      <c r="R145" s="65" t="s">
        <v>272</v>
      </c>
      <c r="S145" s="65"/>
      <c r="T145" s="65" t="s">
        <v>267</v>
      </c>
      <c r="U145" s="65" t="s">
        <v>139</v>
      </c>
      <c r="V145" s="65" t="s">
        <v>135</v>
      </c>
      <c r="W145" s="65" t="s">
        <v>631</v>
      </c>
    </row>
    <row r="146" spans="1:23" x14ac:dyDescent="0.5">
      <c r="A146" t="s">
        <v>682</v>
      </c>
      <c r="B146" s="6">
        <v>147</v>
      </c>
      <c r="C146" s="8"/>
      <c r="D146" s="6" t="s">
        <v>118</v>
      </c>
      <c r="E146" s="6" t="s">
        <v>70</v>
      </c>
      <c r="F146" s="8">
        <v>44837</v>
      </c>
      <c r="G146" s="6" t="s">
        <v>61</v>
      </c>
      <c r="H146" s="6" t="s">
        <v>278</v>
      </c>
      <c r="I146" s="6" t="s">
        <v>337</v>
      </c>
      <c r="J146" s="8">
        <v>44839</v>
      </c>
      <c r="K146" s="36">
        <v>45047</v>
      </c>
      <c r="L146" s="8"/>
      <c r="M146" s="8" t="s">
        <v>610</v>
      </c>
      <c r="N146" s="6" t="s">
        <v>301</v>
      </c>
      <c r="O146" s="8" t="s">
        <v>611</v>
      </c>
      <c r="P146" s="6" t="s">
        <v>269</v>
      </c>
      <c r="Q146" s="6" t="s">
        <v>328</v>
      </c>
      <c r="R146" s="6" t="s">
        <v>397</v>
      </c>
      <c r="S146" s="6"/>
      <c r="T146" s="6" t="s">
        <v>286</v>
      </c>
      <c r="U146" s="6" t="s">
        <v>451</v>
      </c>
      <c r="V146" s="6" t="s">
        <v>281</v>
      </c>
      <c r="W146" s="6" t="s">
        <v>614</v>
      </c>
    </row>
    <row r="147" spans="1:23" x14ac:dyDescent="0.5">
      <c r="A147" t="s">
        <v>685</v>
      </c>
      <c r="B147" s="6">
        <v>142</v>
      </c>
      <c r="C147" s="8">
        <v>44947</v>
      </c>
      <c r="D147" s="6" t="s">
        <v>67</v>
      </c>
      <c r="E147" s="6" t="s">
        <v>52</v>
      </c>
      <c r="F147" s="8">
        <v>44830</v>
      </c>
      <c r="G147" s="6" t="s">
        <v>61</v>
      </c>
      <c r="H147" s="6" t="s">
        <v>278</v>
      </c>
      <c r="I147" s="6" t="s">
        <v>254</v>
      </c>
      <c r="J147" s="8">
        <v>44842</v>
      </c>
      <c r="K147" s="36">
        <v>45170</v>
      </c>
      <c r="L147" s="8">
        <v>45186</v>
      </c>
      <c r="M147" s="8" t="s">
        <v>615</v>
      </c>
      <c r="N147" s="6" t="s">
        <v>275</v>
      </c>
      <c r="O147" s="8" t="s">
        <v>602</v>
      </c>
      <c r="P147" s="6" t="s">
        <v>275</v>
      </c>
      <c r="Q147" s="6" t="s">
        <v>374</v>
      </c>
      <c r="R147" s="6" t="s">
        <v>397</v>
      </c>
      <c r="S147" s="6" t="s">
        <v>169</v>
      </c>
      <c r="T147" s="6" t="s">
        <v>273</v>
      </c>
      <c r="U147" s="6" t="s">
        <v>290</v>
      </c>
      <c r="V147" s="6"/>
      <c r="W147" s="6" t="s">
        <v>616</v>
      </c>
    </row>
    <row r="148" spans="1:23" x14ac:dyDescent="0.5">
      <c r="A148" t="s">
        <v>684</v>
      </c>
      <c r="B148" s="6">
        <v>148</v>
      </c>
      <c r="C148" s="8"/>
      <c r="D148" s="6" t="s">
        <v>118</v>
      </c>
      <c r="E148" s="6" t="s">
        <v>70</v>
      </c>
      <c r="F148" s="8">
        <v>44840</v>
      </c>
      <c r="G148" s="6" t="s">
        <v>281</v>
      </c>
      <c r="H148" s="6"/>
      <c r="I148" s="6"/>
      <c r="J148" s="8">
        <v>44842</v>
      </c>
      <c r="K148" s="36">
        <v>44986</v>
      </c>
      <c r="L148" s="8"/>
      <c r="M148" s="8" t="s">
        <v>612</v>
      </c>
      <c r="N148" s="6" t="s">
        <v>318</v>
      </c>
      <c r="O148" s="8" t="s">
        <v>613</v>
      </c>
      <c r="P148" s="6" t="s">
        <v>275</v>
      </c>
      <c r="Q148" s="6" t="s">
        <v>328</v>
      </c>
      <c r="R148" s="6" t="s">
        <v>397</v>
      </c>
      <c r="S148" s="6"/>
      <c r="T148" s="6" t="s">
        <v>273</v>
      </c>
      <c r="U148" s="6" t="s">
        <v>135</v>
      </c>
      <c r="V148" s="6" t="s">
        <v>406</v>
      </c>
      <c r="W148" s="6" t="s">
        <v>620</v>
      </c>
    </row>
    <row r="149" spans="1:23" x14ac:dyDescent="0.5">
      <c r="A149" t="s">
        <v>682</v>
      </c>
      <c r="B149" s="65">
        <v>144</v>
      </c>
      <c r="C149" s="64"/>
      <c r="D149" s="65" t="s">
        <v>118</v>
      </c>
      <c r="E149" s="65" t="s">
        <v>71</v>
      </c>
      <c r="F149" s="64">
        <v>44836</v>
      </c>
      <c r="G149" s="65" t="s">
        <v>255</v>
      </c>
      <c r="H149" s="65"/>
      <c r="I149" s="65"/>
      <c r="J149" s="64">
        <v>44843</v>
      </c>
      <c r="K149" s="66">
        <v>45170</v>
      </c>
      <c r="L149" s="64"/>
      <c r="M149" s="64" t="s">
        <v>617</v>
      </c>
      <c r="N149" s="65" t="s">
        <v>301</v>
      </c>
      <c r="O149" s="64" t="s">
        <v>618</v>
      </c>
      <c r="P149" s="65" t="s">
        <v>301</v>
      </c>
      <c r="Q149" s="65" t="s">
        <v>295</v>
      </c>
      <c r="R149" s="65" t="s">
        <v>272</v>
      </c>
      <c r="S149" s="65" t="s">
        <v>169</v>
      </c>
      <c r="T149" s="65" t="s">
        <v>273</v>
      </c>
      <c r="U149" s="65" t="s">
        <v>451</v>
      </c>
      <c r="V149" s="65" t="s">
        <v>274</v>
      </c>
      <c r="W149" s="65" t="s">
        <v>630</v>
      </c>
    </row>
    <row r="150" spans="1:23" x14ac:dyDescent="0.5">
      <c r="A150" t="s">
        <v>685</v>
      </c>
      <c r="B150" s="6">
        <v>143</v>
      </c>
      <c r="C150" s="8"/>
      <c r="D150" s="6" t="s">
        <v>118</v>
      </c>
      <c r="E150" s="6" t="s">
        <v>71</v>
      </c>
      <c r="F150" s="8">
        <v>44832</v>
      </c>
      <c r="G150" s="6" t="s">
        <v>61</v>
      </c>
      <c r="H150" s="6" t="s">
        <v>278</v>
      </c>
      <c r="I150" s="6" t="s">
        <v>79</v>
      </c>
      <c r="J150" s="8">
        <v>44856</v>
      </c>
      <c r="K150" s="36">
        <v>45170</v>
      </c>
      <c r="L150" s="8"/>
      <c r="M150" s="8" t="s">
        <v>625</v>
      </c>
      <c r="N150" s="6" t="s">
        <v>269</v>
      </c>
      <c r="O150" s="8" t="s">
        <v>601</v>
      </c>
      <c r="P150" s="6" t="s">
        <v>269</v>
      </c>
      <c r="Q150" s="6" t="s">
        <v>328</v>
      </c>
      <c r="R150" s="6" t="s">
        <v>272</v>
      </c>
      <c r="S150" s="6" t="s">
        <v>169</v>
      </c>
      <c r="T150" s="6" t="s">
        <v>267</v>
      </c>
      <c r="U150" s="6" t="s">
        <v>411</v>
      </c>
      <c r="V150" s="6"/>
      <c r="W150" s="6" t="s">
        <v>626</v>
      </c>
    </row>
    <row r="151" spans="1:23" x14ac:dyDescent="0.5">
      <c r="A151" t="s">
        <v>684</v>
      </c>
      <c r="B151" s="65">
        <v>151</v>
      </c>
      <c r="C151" s="64"/>
      <c r="D151" s="65" t="s">
        <v>118</v>
      </c>
      <c r="E151" s="65" t="s">
        <v>71</v>
      </c>
      <c r="F151" s="64">
        <v>44858</v>
      </c>
      <c r="G151" s="65" t="s">
        <v>281</v>
      </c>
      <c r="H151" s="65"/>
      <c r="I151" s="65"/>
      <c r="J151" s="64">
        <v>44857</v>
      </c>
      <c r="K151" s="66">
        <v>45017</v>
      </c>
      <c r="L151" s="64"/>
      <c r="M151" s="64" t="s">
        <v>627</v>
      </c>
      <c r="N151" s="65" t="s">
        <v>269</v>
      </c>
      <c r="O151" s="64" t="s">
        <v>628</v>
      </c>
      <c r="P151" s="65" t="s">
        <v>269</v>
      </c>
      <c r="Q151" s="65" t="s">
        <v>332</v>
      </c>
      <c r="R151" s="65" t="s">
        <v>106</v>
      </c>
      <c r="S151" s="65"/>
      <c r="T151" s="65" t="s">
        <v>273</v>
      </c>
      <c r="U151" s="65" t="s">
        <v>283</v>
      </c>
      <c r="V151" s="65"/>
      <c r="W151" s="65" t="s">
        <v>637</v>
      </c>
    </row>
    <row r="152" spans="1:23" x14ac:dyDescent="0.5">
      <c r="B152" s="6">
        <v>149</v>
      </c>
      <c r="C152" s="8"/>
      <c r="D152" s="6"/>
      <c r="E152" s="6"/>
      <c r="F152" s="8">
        <v>44852</v>
      </c>
      <c r="G152" s="6" t="s">
        <v>61</v>
      </c>
      <c r="H152" s="6" t="s">
        <v>65</v>
      </c>
      <c r="I152" s="6"/>
      <c r="J152" s="8"/>
      <c r="K152" s="36"/>
      <c r="L152" s="8"/>
      <c r="M152" s="8"/>
      <c r="N152" s="6"/>
      <c r="O152" s="8" t="s">
        <v>621</v>
      </c>
      <c r="P152" s="6"/>
      <c r="Q152" s="6"/>
      <c r="R152" s="6"/>
      <c r="S152" s="6"/>
      <c r="T152" s="6"/>
      <c r="U152" s="6"/>
      <c r="V152" s="6"/>
      <c r="W152" s="6" t="s">
        <v>622</v>
      </c>
    </row>
    <row r="153" spans="1:23" x14ac:dyDescent="0.5">
      <c r="A153" t="s">
        <v>681</v>
      </c>
      <c r="B153" s="6">
        <v>153</v>
      </c>
      <c r="C153" s="8">
        <v>44903</v>
      </c>
      <c r="D153" s="6" t="s">
        <v>66</v>
      </c>
      <c r="E153" s="6" t="s">
        <v>52</v>
      </c>
      <c r="F153" s="8">
        <v>44858</v>
      </c>
      <c r="G153" s="6" t="s">
        <v>5</v>
      </c>
      <c r="H153" s="6"/>
      <c r="I153" s="6"/>
      <c r="J153" s="8">
        <v>44860</v>
      </c>
      <c r="K153" s="36">
        <v>45108</v>
      </c>
      <c r="L153" s="8">
        <v>45114</v>
      </c>
      <c r="M153" s="8" t="s">
        <v>634</v>
      </c>
      <c r="N153" s="6"/>
      <c r="O153" s="8" t="s">
        <v>635</v>
      </c>
      <c r="P153" s="6"/>
      <c r="Q153" s="6" t="s">
        <v>266</v>
      </c>
      <c r="R153" s="6" t="s">
        <v>106</v>
      </c>
      <c r="S153" s="6" t="s">
        <v>169</v>
      </c>
      <c r="T153" s="6"/>
      <c r="U153" s="6"/>
      <c r="V153" s="6"/>
      <c r="W153" s="6" t="s">
        <v>636</v>
      </c>
    </row>
    <row r="154" spans="1:23" x14ac:dyDescent="0.5">
      <c r="A154" t="s">
        <v>686</v>
      </c>
      <c r="B154" s="6">
        <v>163</v>
      </c>
      <c r="C154" s="8">
        <v>44891</v>
      </c>
      <c r="D154" s="6" t="s">
        <v>67</v>
      </c>
      <c r="E154" s="6" t="s">
        <v>52</v>
      </c>
      <c r="F154" s="8">
        <v>44859</v>
      </c>
      <c r="G154" s="6" t="s">
        <v>61</v>
      </c>
      <c r="H154" s="6" t="s">
        <v>278</v>
      </c>
      <c r="I154" s="6" t="s">
        <v>337</v>
      </c>
      <c r="J154" s="8">
        <v>44863</v>
      </c>
      <c r="K154" s="36">
        <v>45108</v>
      </c>
      <c r="L154" s="8">
        <v>45121</v>
      </c>
      <c r="M154" s="8" t="s">
        <v>654</v>
      </c>
      <c r="N154" s="6" t="s">
        <v>275</v>
      </c>
      <c r="O154" s="8" t="s">
        <v>655</v>
      </c>
      <c r="P154" s="6" t="s">
        <v>275</v>
      </c>
      <c r="Q154" s="6" t="s">
        <v>332</v>
      </c>
      <c r="R154" s="6" t="s">
        <v>358</v>
      </c>
      <c r="S154" s="6" t="s">
        <v>386</v>
      </c>
      <c r="T154" s="6" t="s">
        <v>267</v>
      </c>
      <c r="U154" s="6" t="s">
        <v>281</v>
      </c>
      <c r="V154" s="6"/>
      <c r="W154" s="6" t="s">
        <v>656</v>
      </c>
    </row>
    <row r="155" spans="1:23" x14ac:dyDescent="0.5">
      <c r="B155" s="6">
        <v>152</v>
      </c>
      <c r="C155" s="8"/>
      <c r="D155" s="6"/>
      <c r="E155" s="6"/>
      <c r="F155" s="8">
        <v>44858</v>
      </c>
      <c r="G155" s="6" t="s">
        <v>61</v>
      </c>
      <c r="H155" s="6" t="s">
        <v>65</v>
      </c>
      <c r="I155" s="6"/>
      <c r="J155" s="8"/>
      <c r="K155" s="36"/>
      <c r="L155" s="8"/>
      <c r="M155" s="8" t="s">
        <v>632</v>
      </c>
      <c r="N155" s="6"/>
      <c r="O155" s="8"/>
      <c r="P155" s="6"/>
      <c r="Q155" s="6"/>
      <c r="R155" s="6"/>
      <c r="S155" s="6"/>
      <c r="T155" s="6"/>
      <c r="U155" s="6"/>
      <c r="V155" s="6"/>
      <c r="W155" s="6" t="s">
        <v>633</v>
      </c>
    </row>
    <row r="156" spans="1:23" x14ac:dyDescent="0.5">
      <c r="A156" t="s">
        <v>687</v>
      </c>
      <c r="B156" s="6">
        <v>154</v>
      </c>
      <c r="C156" s="8"/>
      <c r="D156" s="6" t="s">
        <v>118</v>
      </c>
      <c r="E156" s="6" t="s">
        <v>71</v>
      </c>
      <c r="F156" s="8">
        <v>44851</v>
      </c>
      <c r="G156" s="6" t="s">
        <v>61</v>
      </c>
      <c r="H156" s="6"/>
      <c r="I156" s="6"/>
      <c r="J156" s="8">
        <v>44868</v>
      </c>
      <c r="K156" s="36"/>
      <c r="L156" s="8"/>
      <c r="M156" s="8" t="s">
        <v>638</v>
      </c>
      <c r="N156" s="6" t="s">
        <v>275</v>
      </c>
      <c r="O156" s="8" t="s">
        <v>666</v>
      </c>
      <c r="P156" s="6" t="s">
        <v>275</v>
      </c>
      <c r="Q156" s="6" t="s">
        <v>374</v>
      </c>
      <c r="R156" s="6" t="s">
        <v>285</v>
      </c>
      <c r="S156" s="6" t="s">
        <v>169</v>
      </c>
      <c r="T156" s="6" t="s">
        <v>286</v>
      </c>
      <c r="U156" s="6" t="s">
        <v>411</v>
      </c>
      <c r="V156" s="6" t="s">
        <v>451</v>
      </c>
      <c r="W156" s="6" t="s">
        <v>667</v>
      </c>
    </row>
    <row r="157" spans="1:23" x14ac:dyDescent="0.5">
      <c r="A157" t="s">
        <v>681</v>
      </c>
      <c r="B157" s="6">
        <v>159</v>
      </c>
      <c r="C157" s="8"/>
      <c r="D157" s="6" t="s">
        <v>118</v>
      </c>
      <c r="E157" s="6" t="s">
        <v>70</v>
      </c>
      <c r="F157" s="8">
        <v>44866</v>
      </c>
      <c r="G157" s="6" t="s">
        <v>262</v>
      </c>
      <c r="H157" s="6" t="s">
        <v>278</v>
      </c>
      <c r="I157" s="6" t="s">
        <v>338</v>
      </c>
      <c r="J157" s="8">
        <v>44868</v>
      </c>
      <c r="K157" s="36"/>
      <c r="L157" s="8"/>
      <c r="M157" s="8" t="s">
        <v>643</v>
      </c>
      <c r="N157" s="6" t="s">
        <v>275</v>
      </c>
      <c r="O157" s="8" t="s">
        <v>644</v>
      </c>
      <c r="P157" s="6" t="s">
        <v>275</v>
      </c>
      <c r="Q157" s="6" t="s">
        <v>266</v>
      </c>
      <c r="R157" s="6" t="s">
        <v>107</v>
      </c>
      <c r="S157" s="6" t="s">
        <v>169</v>
      </c>
      <c r="T157" s="6" t="s">
        <v>267</v>
      </c>
      <c r="U157" s="6" t="s">
        <v>139</v>
      </c>
      <c r="V157" s="6" t="s">
        <v>406</v>
      </c>
      <c r="W157" s="6" t="s">
        <v>645</v>
      </c>
    </row>
    <row r="158" spans="1:23" x14ac:dyDescent="0.5">
      <c r="B158" s="60">
        <v>155</v>
      </c>
      <c r="C158" s="61"/>
      <c r="D158" s="60"/>
      <c r="E158" s="60"/>
      <c r="F158" s="61">
        <v>44857</v>
      </c>
      <c r="G158" s="60" t="s">
        <v>72</v>
      </c>
      <c r="H158" s="60"/>
      <c r="I158" s="60"/>
      <c r="J158" s="61"/>
      <c r="K158" s="62"/>
      <c r="L158" s="61"/>
      <c r="M158" s="61" t="s">
        <v>639</v>
      </c>
      <c r="N158" s="60"/>
      <c r="O158" s="61" t="s">
        <v>647</v>
      </c>
      <c r="P158" s="60"/>
      <c r="Q158" s="60"/>
      <c r="R158" s="60"/>
      <c r="S158" s="60"/>
      <c r="T158" s="60"/>
      <c r="U158" s="60"/>
      <c r="V158" s="60"/>
      <c r="W158" s="60" t="s">
        <v>646</v>
      </c>
    </row>
    <row r="159" spans="1:23" x14ac:dyDescent="0.5">
      <c r="A159" t="s">
        <v>685</v>
      </c>
      <c r="B159" s="6">
        <v>156</v>
      </c>
      <c r="C159" s="8"/>
      <c r="D159" s="6" t="s">
        <v>261</v>
      </c>
      <c r="E159" s="6" t="s">
        <v>52</v>
      </c>
      <c r="F159" s="8">
        <v>44851</v>
      </c>
      <c r="G159" s="6" t="s">
        <v>73</v>
      </c>
      <c r="H159" s="6"/>
      <c r="I159" s="6"/>
      <c r="J159" s="8">
        <v>44870</v>
      </c>
      <c r="K159" s="36">
        <v>45047</v>
      </c>
      <c r="L159" s="8">
        <v>45059</v>
      </c>
      <c r="M159" s="8" t="s">
        <v>640</v>
      </c>
      <c r="N159" s="6" t="s">
        <v>301</v>
      </c>
      <c r="O159" s="8" t="s">
        <v>641</v>
      </c>
      <c r="P159" s="6" t="s">
        <v>269</v>
      </c>
      <c r="Q159" s="6" t="s">
        <v>374</v>
      </c>
      <c r="R159" s="6" t="s">
        <v>397</v>
      </c>
      <c r="S159" s="6" t="s">
        <v>169</v>
      </c>
      <c r="T159" s="6" t="s">
        <v>267</v>
      </c>
      <c r="U159" s="6" t="s">
        <v>274</v>
      </c>
      <c r="V159" s="6" t="s">
        <v>451</v>
      </c>
      <c r="W159" s="6" t="s">
        <v>652</v>
      </c>
    </row>
    <row r="160" spans="1:23" x14ac:dyDescent="0.5">
      <c r="B160" s="60">
        <v>157</v>
      </c>
      <c r="C160" s="61"/>
      <c r="D160" s="60"/>
      <c r="E160" s="60"/>
      <c r="F160" s="61">
        <v>44861</v>
      </c>
      <c r="G160" s="60" t="s">
        <v>61</v>
      </c>
      <c r="H160" s="60" t="s">
        <v>278</v>
      </c>
      <c r="I160" s="60" t="s">
        <v>534</v>
      </c>
      <c r="J160" s="61"/>
      <c r="K160" s="62"/>
      <c r="L160" s="61"/>
      <c r="M160" s="61" t="s">
        <v>642</v>
      </c>
      <c r="N160" s="60"/>
      <c r="O160" s="61"/>
      <c r="P160" s="60"/>
      <c r="Q160" s="60"/>
      <c r="R160" s="60"/>
      <c r="S160" s="60"/>
      <c r="T160" s="60"/>
      <c r="U160" s="60"/>
      <c r="V160" s="60"/>
      <c r="W160" s="60" t="s">
        <v>648</v>
      </c>
    </row>
    <row r="161" spans="1:23" x14ac:dyDescent="0.5">
      <c r="A161" t="s">
        <v>682</v>
      </c>
      <c r="B161" s="6">
        <v>150</v>
      </c>
      <c r="C161" s="8"/>
      <c r="D161" s="6" t="s">
        <v>118</v>
      </c>
      <c r="E161" s="6" t="s">
        <v>71</v>
      </c>
      <c r="F161" s="8">
        <v>44857</v>
      </c>
      <c r="G161" s="6" t="s">
        <v>61</v>
      </c>
      <c r="H161" s="6" t="s">
        <v>278</v>
      </c>
      <c r="I161" s="6" t="s">
        <v>338</v>
      </c>
      <c r="J161" s="8">
        <v>44871</v>
      </c>
      <c r="K161" s="36">
        <v>45047</v>
      </c>
      <c r="L161" s="8"/>
      <c r="M161" s="8" t="s">
        <v>624</v>
      </c>
      <c r="N161" s="6" t="s">
        <v>301</v>
      </c>
      <c r="O161" s="8" t="s">
        <v>650</v>
      </c>
      <c r="P161" s="6" t="s">
        <v>301</v>
      </c>
      <c r="Q161" s="6" t="s">
        <v>328</v>
      </c>
      <c r="R161" s="6" t="s">
        <v>285</v>
      </c>
      <c r="S161" s="6" t="s">
        <v>169</v>
      </c>
      <c r="T161" s="6" t="s">
        <v>381</v>
      </c>
      <c r="U161" s="6"/>
      <c r="V161" s="6"/>
      <c r="W161" s="6" t="s">
        <v>651</v>
      </c>
    </row>
    <row r="162" spans="1:23" x14ac:dyDescent="0.5">
      <c r="A162" t="s">
        <v>684</v>
      </c>
      <c r="B162" s="6">
        <v>160</v>
      </c>
      <c r="C162" s="8"/>
      <c r="D162" s="6" t="s">
        <v>118</v>
      </c>
      <c r="E162" s="6" t="s">
        <v>70</v>
      </c>
      <c r="F162" s="8">
        <v>44869</v>
      </c>
      <c r="G162" s="6" t="s">
        <v>73</v>
      </c>
      <c r="H162" s="6"/>
      <c r="I162" s="6"/>
      <c r="J162" s="8">
        <v>44877</v>
      </c>
      <c r="K162" s="36">
        <v>45139</v>
      </c>
      <c r="L162" s="8"/>
      <c r="M162" s="8" t="s">
        <v>657</v>
      </c>
      <c r="N162" s="6" t="s">
        <v>269</v>
      </c>
      <c r="O162" s="8" t="s">
        <v>658</v>
      </c>
      <c r="P162" s="6" t="s">
        <v>269</v>
      </c>
      <c r="Q162" s="6" t="s">
        <v>266</v>
      </c>
      <c r="R162" s="6" t="s">
        <v>358</v>
      </c>
      <c r="S162" s="6" t="s">
        <v>166</v>
      </c>
      <c r="T162" s="6" t="s">
        <v>267</v>
      </c>
      <c r="U162" s="6" t="s">
        <v>283</v>
      </c>
      <c r="V162" s="6"/>
      <c r="W162" s="6" t="s">
        <v>659</v>
      </c>
    </row>
    <row r="163" spans="1:23" x14ac:dyDescent="0.5">
      <c r="A163" t="s">
        <v>685</v>
      </c>
      <c r="B163" s="6">
        <v>146</v>
      </c>
      <c r="C163" s="8">
        <v>44880</v>
      </c>
      <c r="D163" s="6" t="s">
        <v>66</v>
      </c>
      <c r="E163" s="6" t="s">
        <v>71</v>
      </c>
      <c r="F163" s="8">
        <v>44835</v>
      </c>
      <c r="G163" s="6" t="s">
        <v>61</v>
      </c>
      <c r="H163" s="6" t="s">
        <v>278</v>
      </c>
      <c r="I163" s="6" t="s">
        <v>254</v>
      </c>
      <c r="J163" s="8">
        <v>44878</v>
      </c>
      <c r="K163" s="36">
        <v>45200</v>
      </c>
      <c r="L163" s="8">
        <v>45207</v>
      </c>
      <c r="M163" s="8" t="s">
        <v>607</v>
      </c>
      <c r="N163" s="6" t="s">
        <v>301</v>
      </c>
      <c r="O163" s="8" t="s">
        <v>662</v>
      </c>
      <c r="P163" s="6" t="s">
        <v>301</v>
      </c>
      <c r="Q163" s="6" t="s">
        <v>320</v>
      </c>
      <c r="R163" s="6" t="s">
        <v>285</v>
      </c>
      <c r="S163" s="6" t="s">
        <v>169</v>
      </c>
      <c r="T163" s="6" t="s">
        <v>267</v>
      </c>
      <c r="U163" s="6"/>
      <c r="V163" s="6"/>
      <c r="W163" s="6" t="s">
        <v>668</v>
      </c>
    </row>
    <row r="164" spans="1:23" x14ac:dyDescent="0.5">
      <c r="A164" t="s">
        <v>682</v>
      </c>
      <c r="B164" s="6">
        <v>162</v>
      </c>
      <c r="C164" s="8"/>
      <c r="D164" s="6" t="s">
        <v>261</v>
      </c>
      <c r="E164" s="6" t="s">
        <v>52</v>
      </c>
      <c r="F164" s="8">
        <v>44871</v>
      </c>
      <c r="G164" s="6" t="s">
        <v>262</v>
      </c>
      <c r="H164" s="6" t="s">
        <v>278</v>
      </c>
      <c r="I164" s="6" t="s">
        <v>254</v>
      </c>
      <c r="J164" s="8">
        <v>44878</v>
      </c>
      <c r="K164" s="36">
        <v>45047</v>
      </c>
      <c r="L164" s="8">
        <v>45059</v>
      </c>
      <c r="M164" s="8" t="s">
        <v>660</v>
      </c>
      <c r="N164" s="6" t="s">
        <v>269</v>
      </c>
      <c r="O164" s="8" t="s">
        <v>661</v>
      </c>
      <c r="P164" s="6" t="s">
        <v>269</v>
      </c>
      <c r="Q164" s="6" t="s">
        <v>320</v>
      </c>
      <c r="R164" s="6" t="s">
        <v>321</v>
      </c>
      <c r="S164" s="6" t="s">
        <v>169</v>
      </c>
      <c r="T164" s="6" t="s">
        <v>381</v>
      </c>
      <c r="U164" s="6" t="s">
        <v>411</v>
      </c>
      <c r="V164" s="6" t="s">
        <v>451</v>
      </c>
      <c r="W164" s="6" t="s">
        <v>677</v>
      </c>
    </row>
    <row r="165" spans="1:23" x14ac:dyDescent="0.5">
      <c r="B165" s="6">
        <v>167</v>
      </c>
      <c r="C165" s="8"/>
      <c r="D165" s="6" t="s">
        <v>122</v>
      </c>
      <c r="E165" s="6"/>
      <c r="F165" s="8">
        <v>44880</v>
      </c>
      <c r="G165" s="6" t="s">
        <v>281</v>
      </c>
      <c r="H165" s="6" t="s">
        <v>77</v>
      </c>
      <c r="I165" s="6"/>
      <c r="J165" s="8">
        <v>44885</v>
      </c>
      <c r="K165" s="36"/>
      <c r="L165" s="8"/>
      <c r="M165" s="8" t="s">
        <v>673</v>
      </c>
      <c r="N165" s="6"/>
      <c r="O165" s="8"/>
      <c r="P165" s="6"/>
      <c r="Q165" s="6"/>
      <c r="R165" s="6"/>
      <c r="S165" s="6"/>
      <c r="T165" s="6"/>
      <c r="U165" s="6"/>
      <c r="V165" s="6"/>
      <c r="W165" s="6" t="s">
        <v>676</v>
      </c>
    </row>
    <row r="166" spans="1:23" x14ac:dyDescent="0.5">
      <c r="A166" t="s">
        <v>682</v>
      </c>
      <c r="B166" s="6">
        <v>168</v>
      </c>
      <c r="C166" s="8"/>
      <c r="D166" s="6" t="s">
        <v>261</v>
      </c>
      <c r="E166" s="6" t="s">
        <v>70</v>
      </c>
      <c r="F166" s="8">
        <v>44885</v>
      </c>
      <c r="G166" s="6" t="s">
        <v>281</v>
      </c>
      <c r="H166" s="6"/>
      <c r="I166" s="6"/>
      <c r="J166" s="8">
        <v>44885</v>
      </c>
      <c r="K166" s="36">
        <v>45047</v>
      </c>
      <c r="L166" s="8">
        <v>45052</v>
      </c>
      <c r="M166" s="8" t="s">
        <v>674</v>
      </c>
      <c r="N166" s="6" t="s">
        <v>275</v>
      </c>
      <c r="O166" s="8" t="s">
        <v>675</v>
      </c>
      <c r="P166" s="6" t="s">
        <v>269</v>
      </c>
      <c r="Q166" s="6" t="s">
        <v>328</v>
      </c>
      <c r="R166" s="6" t="s">
        <v>397</v>
      </c>
      <c r="S166" s="6" t="s">
        <v>169</v>
      </c>
      <c r="T166" s="6" t="s">
        <v>273</v>
      </c>
      <c r="U166" s="6" t="s">
        <v>440</v>
      </c>
      <c r="V166" s="6"/>
      <c r="W166" s="6" t="s">
        <v>680</v>
      </c>
    </row>
    <row r="167" spans="1:23" x14ac:dyDescent="0.5">
      <c r="A167" t="s">
        <v>681</v>
      </c>
      <c r="B167" s="6">
        <v>169</v>
      </c>
      <c r="C167" s="8">
        <v>44890</v>
      </c>
      <c r="D167" s="6" t="s">
        <v>67</v>
      </c>
      <c r="E167" s="6" t="s">
        <v>70</v>
      </c>
      <c r="F167" s="8">
        <v>44887</v>
      </c>
      <c r="G167" s="6" t="s">
        <v>281</v>
      </c>
      <c r="H167" s="6" t="s">
        <v>77</v>
      </c>
      <c r="I167" s="6"/>
      <c r="J167" s="8">
        <v>44887</v>
      </c>
      <c r="K167" s="36">
        <v>45139</v>
      </c>
      <c r="L167" s="8">
        <v>45165</v>
      </c>
      <c r="M167" s="8"/>
      <c r="N167" s="6"/>
      <c r="O167" s="8" t="s">
        <v>678</v>
      </c>
      <c r="P167" s="6" t="s">
        <v>275</v>
      </c>
      <c r="Q167" s="6" t="s">
        <v>295</v>
      </c>
      <c r="R167" s="6"/>
      <c r="S167" s="6" t="s">
        <v>166</v>
      </c>
      <c r="T167" s="6" t="s">
        <v>267</v>
      </c>
      <c r="U167" s="6"/>
      <c r="V167" s="6"/>
      <c r="W167" s="6" t="s">
        <v>679</v>
      </c>
    </row>
    <row r="168" spans="1:23" x14ac:dyDescent="0.5">
      <c r="B168" s="6">
        <v>165</v>
      </c>
      <c r="C168" s="8"/>
      <c r="D168" s="6"/>
      <c r="E168" s="6"/>
      <c r="F168" s="8">
        <v>44882</v>
      </c>
      <c r="G168" s="6" t="s">
        <v>61</v>
      </c>
      <c r="H168" s="6" t="s">
        <v>65</v>
      </c>
      <c r="I168" s="6"/>
      <c r="J168" s="8"/>
      <c r="K168" s="36"/>
      <c r="L168" s="8"/>
      <c r="M168" s="8"/>
      <c r="N168" s="6"/>
      <c r="O168" s="8" t="s">
        <v>671</v>
      </c>
      <c r="P168" s="6"/>
      <c r="Q168" s="6"/>
      <c r="R168" s="6"/>
      <c r="S168" s="6"/>
      <c r="T168" s="6"/>
      <c r="U168" s="6"/>
      <c r="V168" s="6"/>
      <c r="W168" s="6"/>
    </row>
    <row r="169" spans="1:23" x14ac:dyDescent="0.5">
      <c r="A169" t="s">
        <v>681</v>
      </c>
      <c r="B169" s="6">
        <v>164</v>
      </c>
      <c r="C169" s="8"/>
      <c r="D169" s="6" t="s">
        <v>261</v>
      </c>
      <c r="E169" s="6" t="s">
        <v>52</v>
      </c>
      <c r="F169" s="8">
        <v>44881</v>
      </c>
      <c r="G169" s="6" t="s">
        <v>281</v>
      </c>
      <c r="H169" s="6"/>
      <c r="I169" s="6"/>
      <c r="J169" s="8">
        <v>44889</v>
      </c>
      <c r="K169" s="36">
        <v>45047</v>
      </c>
      <c r="L169" s="8">
        <v>45059</v>
      </c>
      <c r="M169" s="8" t="s">
        <v>670</v>
      </c>
      <c r="N169" s="6" t="s">
        <v>269</v>
      </c>
      <c r="O169" s="8" t="s">
        <v>669</v>
      </c>
      <c r="P169" s="6" t="s">
        <v>275</v>
      </c>
      <c r="Q169" s="6" t="s">
        <v>328</v>
      </c>
      <c r="R169" s="6" t="s">
        <v>285</v>
      </c>
      <c r="S169" s="6" t="s">
        <v>169</v>
      </c>
      <c r="T169" s="6" t="s">
        <v>267</v>
      </c>
      <c r="U169" s="6" t="s">
        <v>480</v>
      </c>
      <c r="V169" s="6"/>
      <c r="W169" s="6" t="s">
        <v>696</v>
      </c>
    </row>
    <row r="170" spans="1:23" x14ac:dyDescent="0.5">
      <c r="B170" s="6">
        <v>166</v>
      </c>
      <c r="C170" s="8"/>
      <c r="D170" s="6" t="s">
        <v>118</v>
      </c>
      <c r="E170" s="6" t="s">
        <v>71</v>
      </c>
      <c r="F170" s="8">
        <v>44878</v>
      </c>
      <c r="G170" s="6" t="s">
        <v>73</v>
      </c>
      <c r="H170" s="6"/>
      <c r="I170" s="6"/>
      <c r="J170" s="8">
        <v>44893</v>
      </c>
      <c r="K170" s="36">
        <v>45078</v>
      </c>
      <c r="L170" s="8"/>
      <c r="M170" s="8" t="s">
        <v>691</v>
      </c>
      <c r="N170" s="6" t="s">
        <v>275</v>
      </c>
      <c r="O170" s="8" t="s">
        <v>692</v>
      </c>
      <c r="P170" s="6" t="s">
        <v>275</v>
      </c>
      <c r="Q170" s="6" t="s">
        <v>332</v>
      </c>
      <c r="R170" s="6" t="s">
        <v>106</v>
      </c>
      <c r="S170" s="6"/>
      <c r="T170" s="6" t="s">
        <v>267</v>
      </c>
      <c r="U170" s="6" t="s">
        <v>406</v>
      </c>
      <c r="V170" s="6" t="s">
        <v>693</v>
      </c>
      <c r="W170" s="6" t="s">
        <v>694</v>
      </c>
    </row>
    <row r="171" spans="1:23" x14ac:dyDescent="0.5">
      <c r="B171" s="6">
        <v>170</v>
      </c>
      <c r="C171" s="8">
        <v>44894</v>
      </c>
      <c r="D171" s="6" t="s">
        <v>68</v>
      </c>
      <c r="E171" s="6" t="s">
        <v>70</v>
      </c>
      <c r="F171" s="8">
        <v>44894</v>
      </c>
      <c r="G171" s="6" t="s">
        <v>281</v>
      </c>
      <c r="H171" s="6"/>
      <c r="I171" s="6"/>
      <c r="J171" s="8">
        <v>44894</v>
      </c>
      <c r="K171" s="36">
        <v>45047</v>
      </c>
      <c r="L171" s="8">
        <v>45074</v>
      </c>
      <c r="M171" s="8" t="s">
        <v>698</v>
      </c>
      <c r="N171" s="6" t="s">
        <v>269</v>
      </c>
      <c r="O171" s="8" t="s">
        <v>52</v>
      </c>
      <c r="P171" s="6" t="s">
        <v>275</v>
      </c>
      <c r="Q171" s="6" t="s">
        <v>401</v>
      </c>
      <c r="R171" s="6"/>
      <c r="S171" s="6" t="s">
        <v>169</v>
      </c>
      <c r="T171" s="6" t="s">
        <v>267</v>
      </c>
      <c r="U171" s="6"/>
      <c r="V171" s="6"/>
      <c r="W171" s="6" t="s">
        <v>699</v>
      </c>
    </row>
    <row r="172" spans="1:23" x14ac:dyDescent="0.5">
      <c r="A172" t="s">
        <v>701</v>
      </c>
      <c r="B172" s="6">
        <v>173</v>
      </c>
      <c r="C172" s="8">
        <v>44902</v>
      </c>
      <c r="D172" s="6" t="s">
        <v>66</v>
      </c>
      <c r="E172" s="6" t="s">
        <v>71</v>
      </c>
      <c r="F172" s="8">
        <v>44893</v>
      </c>
      <c r="G172" s="6" t="s">
        <v>61</v>
      </c>
      <c r="H172" s="6" t="s">
        <v>278</v>
      </c>
      <c r="I172" s="6" t="s">
        <v>79</v>
      </c>
      <c r="J172" s="8">
        <v>44898</v>
      </c>
      <c r="K172" s="36">
        <v>45170</v>
      </c>
      <c r="L172" s="8">
        <v>45187</v>
      </c>
      <c r="M172" s="8" t="s">
        <v>700</v>
      </c>
      <c r="N172" s="6" t="s">
        <v>275</v>
      </c>
      <c r="O172" s="8" t="s">
        <v>690</v>
      </c>
      <c r="P172" s="6" t="s">
        <v>269</v>
      </c>
      <c r="Q172" s="6" t="s">
        <v>320</v>
      </c>
      <c r="R172" s="6" t="s">
        <v>321</v>
      </c>
      <c r="S172" s="6" t="s">
        <v>169</v>
      </c>
      <c r="T172" s="6" t="s">
        <v>267</v>
      </c>
      <c r="U172" s="6" t="s">
        <v>411</v>
      </c>
      <c r="V172" s="6"/>
      <c r="W172" s="6" t="s">
        <v>702</v>
      </c>
    </row>
    <row r="173" spans="1:23" x14ac:dyDescent="0.5">
      <c r="B173" s="60">
        <v>158</v>
      </c>
      <c r="C173" s="61"/>
      <c r="D173" s="60" t="s">
        <v>118</v>
      </c>
      <c r="E173" s="60" t="s">
        <v>52</v>
      </c>
      <c r="F173" s="61">
        <v>44868</v>
      </c>
      <c r="G173" s="60" t="s">
        <v>61</v>
      </c>
      <c r="H173" s="60" t="s">
        <v>278</v>
      </c>
      <c r="I173" s="60" t="s">
        <v>337</v>
      </c>
      <c r="J173" s="61">
        <v>44899</v>
      </c>
      <c r="K173" s="62">
        <v>45017</v>
      </c>
      <c r="L173" s="61"/>
      <c r="M173" s="61" t="s">
        <v>672</v>
      </c>
      <c r="N173" s="60" t="s">
        <v>316</v>
      </c>
      <c r="O173" s="61" t="s">
        <v>707</v>
      </c>
      <c r="P173" s="60" t="s">
        <v>275</v>
      </c>
      <c r="Q173" s="60" t="s">
        <v>328</v>
      </c>
      <c r="R173" s="60" t="s">
        <v>321</v>
      </c>
      <c r="S173" s="60" t="s">
        <v>169</v>
      </c>
      <c r="T173" s="60" t="s">
        <v>267</v>
      </c>
      <c r="U173" s="60" t="s">
        <v>139</v>
      </c>
      <c r="V173" s="60"/>
      <c r="W173" s="60" t="s">
        <v>717</v>
      </c>
    </row>
    <row r="174" spans="1:23" x14ac:dyDescent="0.5">
      <c r="B174" s="6">
        <v>171</v>
      </c>
      <c r="C174" s="8"/>
      <c r="D174" s="6" t="s">
        <v>122</v>
      </c>
      <c r="E174" s="6"/>
      <c r="F174" s="8">
        <v>44885</v>
      </c>
      <c r="G174" s="6" t="s">
        <v>61</v>
      </c>
      <c r="H174" s="6" t="s">
        <v>278</v>
      </c>
      <c r="I174" s="6" t="s">
        <v>337</v>
      </c>
      <c r="J174" s="8">
        <v>44899</v>
      </c>
      <c r="K174" s="36"/>
      <c r="L174" s="8"/>
      <c r="M174" s="8" t="s">
        <v>704</v>
      </c>
      <c r="N174" s="6" t="s">
        <v>269</v>
      </c>
      <c r="O174" s="8" t="s">
        <v>688</v>
      </c>
      <c r="P174" s="6" t="s">
        <v>275</v>
      </c>
      <c r="Q174" s="6"/>
      <c r="R174" s="6"/>
      <c r="S174" s="6" t="s">
        <v>386</v>
      </c>
      <c r="T174" s="6"/>
      <c r="U174" s="6"/>
      <c r="V174" s="6"/>
      <c r="W174" s="6" t="s">
        <v>731</v>
      </c>
    </row>
    <row r="175" spans="1:23" x14ac:dyDescent="0.5">
      <c r="B175" s="6">
        <v>177</v>
      </c>
      <c r="C175" s="8"/>
      <c r="D175" s="6" t="s">
        <v>118</v>
      </c>
      <c r="E175" s="6" t="s">
        <v>70</v>
      </c>
      <c r="F175" s="8">
        <v>44894</v>
      </c>
      <c r="G175" s="6" t="s">
        <v>61</v>
      </c>
      <c r="H175" s="6" t="s">
        <v>278</v>
      </c>
      <c r="I175" s="6" t="s">
        <v>79</v>
      </c>
      <c r="J175" s="8">
        <v>44899</v>
      </c>
      <c r="K175" s="36"/>
      <c r="L175" s="8"/>
      <c r="M175" s="8" t="s">
        <v>705</v>
      </c>
      <c r="N175" s="6" t="s">
        <v>269</v>
      </c>
      <c r="O175" s="8" t="s">
        <v>706</v>
      </c>
      <c r="P175" s="6" t="s">
        <v>269</v>
      </c>
      <c r="Q175" s="6" t="s">
        <v>328</v>
      </c>
      <c r="R175" s="6"/>
      <c r="S175" s="6" t="s">
        <v>169</v>
      </c>
      <c r="T175" s="6" t="s">
        <v>381</v>
      </c>
      <c r="U175" s="6" t="s">
        <v>406</v>
      </c>
      <c r="V175" s="6" t="s">
        <v>411</v>
      </c>
      <c r="W175" s="6" t="s">
        <v>740</v>
      </c>
    </row>
    <row r="176" spans="1:23" x14ac:dyDescent="0.5">
      <c r="B176" s="67">
        <v>175</v>
      </c>
      <c r="C176" s="68"/>
      <c r="D176" s="67" t="s">
        <v>118</v>
      </c>
      <c r="E176" s="67" t="s">
        <v>70</v>
      </c>
      <c r="F176" s="68">
        <v>44896</v>
      </c>
      <c r="G176" s="67" t="s">
        <v>61</v>
      </c>
      <c r="H176" s="67" t="s">
        <v>278</v>
      </c>
      <c r="I176" s="67" t="s">
        <v>79</v>
      </c>
      <c r="J176" s="68">
        <v>44901</v>
      </c>
      <c r="K176" s="69">
        <v>45047</v>
      </c>
      <c r="L176" s="68"/>
      <c r="M176" s="68" t="s">
        <v>708</v>
      </c>
      <c r="N176" s="67" t="s">
        <v>275</v>
      </c>
      <c r="O176" s="68" t="s">
        <v>697</v>
      </c>
      <c r="P176" s="67" t="s">
        <v>275</v>
      </c>
      <c r="Q176" s="67" t="s">
        <v>266</v>
      </c>
      <c r="R176" s="67" t="s">
        <v>106</v>
      </c>
      <c r="S176" s="67" t="s">
        <v>169</v>
      </c>
      <c r="T176" s="67" t="s">
        <v>273</v>
      </c>
      <c r="U176" s="67" t="s">
        <v>411</v>
      </c>
      <c r="V176" s="67"/>
      <c r="W176" s="67" t="s">
        <v>750</v>
      </c>
    </row>
    <row r="177" spans="2:23" x14ac:dyDescent="0.5">
      <c r="B177" s="6">
        <v>174</v>
      </c>
      <c r="C177" s="8">
        <v>44915</v>
      </c>
      <c r="D177" s="6" t="s">
        <v>66</v>
      </c>
      <c r="E177" s="6" t="s">
        <v>52</v>
      </c>
      <c r="F177" s="8">
        <v>44894</v>
      </c>
      <c r="G177" s="6" t="s">
        <v>61</v>
      </c>
      <c r="H177" s="6" t="s">
        <v>278</v>
      </c>
      <c r="I177" s="6" t="s">
        <v>79</v>
      </c>
      <c r="J177" s="8">
        <v>44905</v>
      </c>
      <c r="K177" s="36">
        <v>45170</v>
      </c>
      <c r="L177" s="8">
        <v>45179</v>
      </c>
      <c r="M177" s="8" t="s">
        <v>695</v>
      </c>
      <c r="N177" s="6" t="s">
        <v>269</v>
      </c>
      <c r="O177" s="8" t="s">
        <v>719</v>
      </c>
      <c r="P177" s="6" t="s">
        <v>301</v>
      </c>
      <c r="Q177" s="6" t="s">
        <v>295</v>
      </c>
      <c r="R177" s="6"/>
      <c r="S177" s="6" t="s">
        <v>169</v>
      </c>
      <c r="T177" s="6" t="s">
        <v>267</v>
      </c>
      <c r="U177" s="6"/>
      <c r="V177" s="6"/>
      <c r="W177" s="6" t="s">
        <v>720</v>
      </c>
    </row>
    <row r="178" spans="2:23" x14ac:dyDescent="0.5">
      <c r="B178" s="6">
        <v>178</v>
      </c>
      <c r="C178" s="8"/>
      <c r="D178" s="6" t="s">
        <v>261</v>
      </c>
      <c r="E178" s="6" t="s">
        <v>52</v>
      </c>
      <c r="F178" s="8">
        <v>44902</v>
      </c>
      <c r="G178" s="6" t="s">
        <v>61</v>
      </c>
      <c r="H178" s="6" t="s">
        <v>278</v>
      </c>
      <c r="I178" s="6" t="s">
        <v>79</v>
      </c>
      <c r="J178" s="8">
        <v>44905</v>
      </c>
      <c r="K178" s="36">
        <v>45170</v>
      </c>
      <c r="L178" s="8"/>
      <c r="M178" s="8" t="s">
        <v>718</v>
      </c>
      <c r="N178" s="6" t="s">
        <v>318</v>
      </c>
      <c r="O178" s="8" t="s">
        <v>714</v>
      </c>
      <c r="P178" s="6" t="s">
        <v>269</v>
      </c>
      <c r="Q178" s="6" t="s">
        <v>295</v>
      </c>
      <c r="R178" s="6" t="s">
        <v>107</v>
      </c>
      <c r="S178" s="6" t="s">
        <v>169</v>
      </c>
      <c r="T178" s="6" t="s">
        <v>273</v>
      </c>
      <c r="U178" s="6" t="s">
        <v>290</v>
      </c>
      <c r="V178" s="6"/>
      <c r="W178" s="6" t="s">
        <v>732</v>
      </c>
    </row>
    <row r="179" spans="2:23" x14ac:dyDescent="0.5">
      <c r="B179" s="6">
        <v>176</v>
      </c>
      <c r="C179" s="8">
        <v>44934</v>
      </c>
      <c r="D179" s="6" t="s">
        <v>68</v>
      </c>
      <c r="E179" s="6" t="s">
        <v>71</v>
      </c>
      <c r="F179" s="8">
        <v>44898</v>
      </c>
      <c r="G179" s="6" t="s">
        <v>61</v>
      </c>
      <c r="H179" s="6" t="s">
        <v>278</v>
      </c>
      <c r="I179" s="6" t="s">
        <v>336</v>
      </c>
      <c r="J179" s="8">
        <v>44934</v>
      </c>
      <c r="K179" s="36">
        <v>45108</v>
      </c>
      <c r="L179" s="8">
        <v>45116</v>
      </c>
      <c r="M179" s="8" t="s">
        <v>745</v>
      </c>
      <c r="N179" s="6" t="s">
        <v>269</v>
      </c>
      <c r="O179" s="8" t="s">
        <v>703</v>
      </c>
      <c r="P179" s="6" t="s">
        <v>269</v>
      </c>
      <c r="Q179" s="6" t="s">
        <v>295</v>
      </c>
      <c r="R179" s="6" t="s">
        <v>272</v>
      </c>
      <c r="S179" s="6" t="s">
        <v>166</v>
      </c>
      <c r="T179" s="6" t="s">
        <v>267</v>
      </c>
      <c r="U179" s="6" t="s">
        <v>139</v>
      </c>
      <c r="V179" s="6"/>
      <c r="W179" s="6" t="s">
        <v>746</v>
      </c>
    </row>
    <row r="180" spans="2:23" x14ac:dyDescent="0.5">
      <c r="B180" s="6">
        <v>161</v>
      </c>
      <c r="C180" s="8">
        <v>44919</v>
      </c>
      <c r="D180" s="6" t="s">
        <v>66</v>
      </c>
      <c r="E180" s="6" t="s">
        <v>71</v>
      </c>
      <c r="F180" s="8">
        <v>44870</v>
      </c>
      <c r="G180" s="6" t="s">
        <v>61</v>
      </c>
      <c r="H180" s="6" t="s">
        <v>278</v>
      </c>
      <c r="I180" s="6" t="s">
        <v>338</v>
      </c>
      <c r="J180" s="8">
        <v>44913</v>
      </c>
      <c r="K180" s="36">
        <v>45231</v>
      </c>
      <c r="L180" s="8">
        <v>45234</v>
      </c>
      <c r="M180" s="8" t="s">
        <v>730</v>
      </c>
      <c r="N180" s="6" t="s">
        <v>275</v>
      </c>
      <c r="O180" s="8" t="s">
        <v>649</v>
      </c>
      <c r="P180" s="6" t="s">
        <v>269</v>
      </c>
      <c r="Q180" s="6" t="s">
        <v>295</v>
      </c>
      <c r="R180" s="6" t="s">
        <v>285</v>
      </c>
      <c r="S180" s="6" t="s">
        <v>166</v>
      </c>
      <c r="T180" s="6" t="s">
        <v>286</v>
      </c>
      <c r="U180" s="6" t="s">
        <v>406</v>
      </c>
      <c r="V180" s="6" t="s">
        <v>290</v>
      </c>
      <c r="W180" s="6" t="s">
        <v>734</v>
      </c>
    </row>
    <row r="181" spans="2:23" x14ac:dyDescent="0.5">
      <c r="B181" s="6">
        <v>172</v>
      </c>
      <c r="C181" s="8">
        <v>44920</v>
      </c>
      <c r="D181" s="6" t="s">
        <v>66</v>
      </c>
      <c r="E181" s="6" t="s">
        <v>70</v>
      </c>
      <c r="F181" s="8">
        <v>44886</v>
      </c>
      <c r="G181" s="6" t="s">
        <v>61</v>
      </c>
      <c r="H181" s="6" t="s">
        <v>278</v>
      </c>
      <c r="I181" s="6" t="s">
        <v>336</v>
      </c>
      <c r="J181" s="8">
        <v>44913</v>
      </c>
      <c r="K181" s="36">
        <v>45017</v>
      </c>
      <c r="L181" s="8">
        <v>45039</v>
      </c>
      <c r="M181" s="8" t="s">
        <v>689</v>
      </c>
      <c r="N181" s="6" t="s">
        <v>316</v>
      </c>
      <c r="O181" s="8" t="s">
        <v>726</v>
      </c>
      <c r="P181" s="6" t="s">
        <v>275</v>
      </c>
      <c r="Q181" s="6" t="s">
        <v>266</v>
      </c>
      <c r="R181" s="6" t="s">
        <v>106</v>
      </c>
      <c r="S181" s="6" t="s">
        <v>166</v>
      </c>
      <c r="T181" s="6" t="s">
        <v>267</v>
      </c>
      <c r="U181" s="6"/>
      <c r="V181" s="6"/>
      <c r="W181" s="6" t="s">
        <v>727</v>
      </c>
    </row>
    <row r="182" spans="2:23" x14ac:dyDescent="0.5">
      <c r="B182" s="6">
        <v>179</v>
      </c>
      <c r="C182" s="8"/>
      <c r="D182" s="6"/>
      <c r="E182" s="6"/>
      <c r="F182" s="8">
        <v>44902</v>
      </c>
      <c r="G182" s="6" t="s">
        <v>262</v>
      </c>
      <c r="H182" s="6" t="s">
        <v>65</v>
      </c>
      <c r="I182" s="6"/>
      <c r="J182" s="8"/>
      <c r="K182" s="36"/>
      <c r="L182" s="8"/>
      <c r="M182" s="8"/>
      <c r="N182" s="6"/>
      <c r="O182" s="8" t="s">
        <v>715</v>
      </c>
      <c r="P182" s="6" t="s">
        <v>269</v>
      </c>
      <c r="Q182" s="6" t="s">
        <v>374</v>
      </c>
      <c r="R182" s="6" t="s">
        <v>272</v>
      </c>
      <c r="S182" s="6"/>
      <c r="T182" s="6"/>
      <c r="U182" s="6"/>
      <c r="V182" s="6"/>
      <c r="W182" s="6" t="s">
        <v>716</v>
      </c>
    </row>
    <row r="183" spans="2:23" x14ac:dyDescent="0.5">
      <c r="B183" s="6">
        <v>180</v>
      </c>
      <c r="C183" s="8"/>
      <c r="D183" s="6" t="s">
        <v>118</v>
      </c>
      <c r="E183" s="6" t="s">
        <v>71</v>
      </c>
      <c r="F183" s="8">
        <v>44903</v>
      </c>
      <c r="G183" s="6" t="s">
        <v>61</v>
      </c>
      <c r="H183" s="6" t="s">
        <v>278</v>
      </c>
      <c r="I183" s="6" t="s">
        <v>79</v>
      </c>
      <c r="J183" s="8">
        <v>44906</v>
      </c>
      <c r="K183" s="36">
        <v>45078</v>
      </c>
      <c r="L183" s="8"/>
      <c r="M183" s="8" t="s">
        <v>723</v>
      </c>
      <c r="N183" s="6" t="s">
        <v>275</v>
      </c>
      <c r="O183" s="8" t="s">
        <v>724</v>
      </c>
      <c r="P183" s="6" t="s">
        <v>275</v>
      </c>
      <c r="Q183" s="6" t="s">
        <v>401</v>
      </c>
      <c r="R183" s="6" t="s">
        <v>321</v>
      </c>
      <c r="S183" s="6" t="s">
        <v>169</v>
      </c>
      <c r="T183" s="6" t="s">
        <v>381</v>
      </c>
      <c r="U183" s="6" t="s">
        <v>274</v>
      </c>
      <c r="V183" s="6" t="s">
        <v>411</v>
      </c>
      <c r="W183" s="6" t="s">
        <v>725</v>
      </c>
    </row>
    <row r="184" spans="2:23" x14ac:dyDescent="0.5">
      <c r="B184" s="6">
        <v>181</v>
      </c>
      <c r="C184" s="61"/>
      <c r="D184" s="60"/>
      <c r="E184" s="60"/>
      <c r="F184" s="61">
        <v>44905</v>
      </c>
      <c r="G184" s="60" t="s">
        <v>61</v>
      </c>
      <c r="H184" s="60" t="s">
        <v>278</v>
      </c>
      <c r="I184" s="60" t="s">
        <v>79</v>
      </c>
      <c r="J184" s="61"/>
      <c r="K184" s="62"/>
      <c r="L184" s="61"/>
      <c r="M184" s="61" t="s">
        <v>721</v>
      </c>
      <c r="N184" s="60"/>
      <c r="O184" s="61"/>
      <c r="P184" s="60"/>
      <c r="Q184" s="60"/>
      <c r="R184" s="60"/>
      <c r="S184" s="60"/>
      <c r="T184" s="60"/>
      <c r="U184" s="60"/>
      <c r="V184" s="60"/>
      <c r="W184" s="60" t="s">
        <v>722</v>
      </c>
    </row>
    <row r="185" spans="2:23" x14ac:dyDescent="0.5">
      <c r="B185" s="6">
        <v>182</v>
      </c>
      <c r="C185" s="68"/>
      <c r="D185" s="67"/>
      <c r="E185" s="67"/>
      <c r="F185" s="68">
        <v>44913</v>
      </c>
      <c r="G185" s="67" t="s">
        <v>255</v>
      </c>
      <c r="H185" s="67"/>
      <c r="I185" s="67"/>
      <c r="J185" s="68"/>
      <c r="K185" s="69"/>
      <c r="L185" s="68"/>
      <c r="M185" s="68" t="s">
        <v>728</v>
      </c>
      <c r="N185" s="67"/>
      <c r="O185" s="68" t="s">
        <v>729</v>
      </c>
      <c r="P185" s="67"/>
      <c r="Q185" s="67"/>
      <c r="R185" s="67"/>
      <c r="S185" s="67"/>
      <c r="T185" s="67"/>
      <c r="U185" s="67"/>
      <c r="V185" s="67"/>
      <c r="W185" s="67" t="s">
        <v>749</v>
      </c>
    </row>
    <row r="186" spans="2:23" x14ac:dyDescent="0.5">
      <c r="B186" s="6">
        <v>183</v>
      </c>
      <c r="C186" s="8"/>
      <c r="D186" s="6" t="s">
        <v>118</v>
      </c>
      <c r="E186" s="6" t="s">
        <v>52</v>
      </c>
      <c r="F186" s="8">
        <v>44918</v>
      </c>
      <c r="G186" s="6" t="s">
        <v>61</v>
      </c>
      <c r="H186" s="6" t="s">
        <v>278</v>
      </c>
      <c r="I186" s="6" t="s">
        <v>79</v>
      </c>
      <c r="J186" s="8">
        <v>44930</v>
      </c>
      <c r="K186" s="36" t="s">
        <v>742</v>
      </c>
      <c r="L186" s="8"/>
      <c r="M186" s="8" t="s">
        <v>733</v>
      </c>
      <c r="N186" s="6" t="s">
        <v>318</v>
      </c>
      <c r="O186" s="8" t="s">
        <v>743</v>
      </c>
      <c r="P186" s="6" t="s">
        <v>275</v>
      </c>
      <c r="Q186" s="6" t="s">
        <v>328</v>
      </c>
      <c r="R186" s="6" t="s">
        <v>107</v>
      </c>
      <c r="S186" s="6" t="s">
        <v>169</v>
      </c>
      <c r="T186" s="6" t="s">
        <v>273</v>
      </c>
      <c r="U186" s="6" t="s">
        <v>480</v>
      </c>
      <c r="V186" s="6"/>
      <c r="W186" s="6" t="s">
        <v>744</v>
      </c>
    </row>
    <row r="187" spans="2:23" x14ac:dyDescent="0.5">
      <c r="B187" s="6">
        <v>184</v>
      </c>
      <c r="C187" s="8"/>
      <c r="D187" s="6" t="s">
        <v>118</v>
      </c>
      <c r="E187" s="6" t="s">
        <v>70</v>
      </c>
      <c r="F187" s="8">
        <v>44921</v>
      </c>
      <c r="G187" s="6" t="s">
        <v>61</v>
      </c>
      <c r="H187" s="6" t="s">
        <v>65</v>
      </c>
      <c r="I187" s="6" t="s">
        <v>337</v>
      </c>
      <c r="J187" s="8">
        <v>44955</v>
      </c>
      <c r="K187" s="36">
        <v>45078</v>
      </c>
      <c r="L187" s="8"/>
      <c r="M187" s="8" t="s">
        <v>799</v>
      </c>
      <c r="N187" s="6" t="s">
        <v>316</v>
      </c>
      <c r="O187" s="8" t="s">
        <v>735</v>
      </c>
      <c r="P187" s="6" t="s">
        <v>269</v>
      </c>
      <c r="Q187" s="6" t="s">
        <v>266</v>
      </c>
      <c r="R187" s="6" t="s">
        <v>106</v>
      </c>
      <c r="S187" s="6" t="s">
        <v>166</v>
      </c>
      <c r="T187" s="6" t="s">
        <v>267</v>
      </c>
      <c r="U187" s="6"/>
      <c r="V187" s="6"/>
      <c r="W187" s="6" t="s">
        <v>800</v>
      </c>
    </row>
    <row r="188" spans="2:23" x14ac:dyDescent="0.5">
      <c r="B188" s="6">
        <v>185</v>
      </c>
      <c r="C188" s="8"/>
      <c r="D188" s="6" t="s">
        <v>122</v>
      </c>
      <c r="E188" s="6"/>
      <c r="F188" s="8"/>
      <c r="G188" s="6"/>
      <c r="H188" s="6"/>
      <c r="I188" s="6"/>
      <c r="J188" s="8"/>
      <c r="K188" s="36"/>
      <c r="L188" s="8"/>
      <c r="M188" s="8"/>
      <c r="N188" s="6"/>
      <c r="O188" s="8" t="s">
        <v>736</v>
      </c>
      <c r="P188" s="6"/>
      <c r="Q188" s="6"/>
      <c r="R188" s="6"/>
      <c r="S188" s="6"/>
      <c r="T188" s="6"/>
      <c r="U188" s="6" t="s">
        <v>406</v>
      </c>
      <c r="V188" s="6"/>
      <c r="W188" s="6" t="s">
        <v>739</v>
      </c>
    </row>
    <row r="189" spans="2:23" x14ac:dyDescent="0.5">
      <c r="B189" s="6">
        <v>186</v>
      </c>
      <c r="C189" s="8"/>
      <c r="D189" s="6"/>
      <c r="E189" s="6"/>
      <c r="F189" s="8">
        <v>44927</v>
      </c>
      <c r="G189" s="6" t="s">
        <v>61</v>
      </c>
      <c r="H189" s="6" t="s">
        <v>65</v>
      </c>
      <c r="I189" s="6"/>
      <c r="J189" s="8"/>
      <c r="K189" s="36"/>
      <c r="L189" s="8"/>
      <c r="M189" s="8"/>
      <c r="N189" s="6"/>
      <c r="O189" s="8" t="s">
        <v>737</v>
      </c>
      <c r="P189" s="6"/>
      <c r="Q189" s="6"/>
      <c r="R189" s="6"/>
      <c r="S189" s="6"/>
      <c r="T189" s="6"/>
      <c r="U189" s="6"/>
      <c r="V189" s="6"/>
      <c r="W189" s="6" t="s">
        <v>738</v>
      </c>
    </row>
    <row r="190" spans="2:23" x14ac:dyDescent="0.5">
      <c r="B190" s="6">
        <v>187</v>
      </c>
      <c r="C190" s="8"/>
      <c r="D190" s="6" t="s">
        <v>122</v>
      </c>
      <c r="E190" s="6"/>
      <c r="F190" s="8">
        <v>44929</v>
      </c>
      <c r="G190" s="6" t="s">
        <v>61</v>
      </c>
      <c r="H190" s="6" t="s">
        <v>278</v>
      </c>
      <c r="I190" s="6" t="s">
        <v>254</v>
      </c>
      <c r="J190" s="8">
        <v>44948</v>
      </c>
      <c r="K190" s="36"/>
      <c r="L190" s="8"/>
      <c r="M190" s="8" t="s">
        <v>771</v>
      </c>
      <c r="N190" s="6" t="s">
        <v>301</v>
      </c>
      <c r="O190" s="8" t="s">
        <v>741</v>
      </c>
      <c r="P190" s="6" t="s">
        <v>301</v>
      </c>
      <c r="Q190" s="6" t="s">
        <v>328</v>
      </c>
      <c r="R190" s="6" t="s">
        <v>107</v>
      </c>
      <c r="S190" s="6" t="s">
        <v>169</v>
      </c>
      <c r="T190" s="6" t="s">
        <v>267</v>
      </c>
      <c r="U190" s="6"/>
      <c r="V190" s="6"/>
      <c r="W190" s="6" t="s">
        <v>772</v>
      </c>
    </row>
    <row r="191" spans="2:23" x14ac:dyDescent="0.5">
      <c r="B191" s="6">
        <v>188</v>
      </c>
      <c r="C191" s="8"/>
      <c r="D191" s="6"/>
      <c r="E191" s="6"/>
      <c r="F191" s="8">
        <v>44935</v>
      </c>
      <c r="G191" s="6" t="s">
        <v>61</v>
      </c>
      <c r="H191" s="6" t="s">
        <v>65</v>
      </c>
      <c r="I191" s="6"/>
      <c r="J191" s="8"/>
      <c r="K191" s="36"/>
      <c r="L191" s="8"/>
      <c r="M191" s="8" t="s">
        <v>747</v>
      </c>
      <c r="N191" s="6"/>
      <c r="O191" s="8"/>
      <c r="P191" s="6"/>
      <c r="Q191" s="6"/>
      <c r="R191" s="6"/>
      <c r="S191" s="6"/>
      <c r="T191" s="6"/>
      <c r="U191" s="6"/>
      <c r="V191" s="6"/>
      <c r="W191" s="6" t="s">
        <v>748</v>
      </c>
    </row>
    <row r="192" spans="2:23" x14ac:dyDescent="0.5">
      <c r="B192" s="6">
        <v>189</v>
      </c>
      <c r="C192" s="8">
        <v>44946</v>
      </c>
      <c r="D192" s="6" t="s">
        <v>66</v>
      </c>
      <c r="E192" s="6" t="s">
        <v>71</v>
      </c>
      <c r="F192" s="8">
        <v>44936</v>
      </c>
      <c r="G192" s="6" t="s">
        <v>61</v>
      </c>
      <c r="H192" s="6" t="s">
        <v>278</v>
      </c>
      <c r="I192" s="6" t="s">
        <v>79</v>
      </c>
      <c r="J192" s="8">
        <v>44940</v>
      </c>
      <c r="K192" s="36">
        <v>45170</v>
      </c>
      <c r="L192" s="8">
        <v>45171</v>
      </c>
      <c r="M192" s="8" t="s">
        <v>751</v>
      </c>
      <c r="N192" s="6" t="s">
        <v>269</v>
      </c>
      <c r="O192" s="8" t="s">
        <v>752</v>
      </c>
      <c r="P192" s="6" t="s">
        <v>301</v>
      </c>
      <c r="Q192" s="6" t="s">
        <v>271</v>
      </c>
      <c r="R192" s="6" t="s">
        <v>285</v>
      </c>
      <c r="S192" s="6" t="s">
        <v>169</v>
      </c>
      <c r="T192" s="6" t="s">
        <v>273</v>
      </c>
      <c r="U192" s="6" t="s">
        <v>221</v>
      </c>
      <c r="V192" s="6"/>
      <c r="W192" s="6" t="s">
        <v>753</v>
      </c>
    </row>
    <row r="193" spans="2:23" x14ac:dyDescent="0.5">
      <c r="B193" s="6">
        <v>190</v>
      </c>
      <c r="C193" s="8"/>
      <c r="D193" s="6" t="s">
        <v>261</v>
      </c>
      <c r="E193" s="6" t="s">
        <v>70</v>
      </c>
      <c r="F193" s="8">
        <v>44941</v>
      </c>
      <c r="G193" s="6" t="s">
        <v>5</v>
      </c>
      <c r="H193" s="6"/>
      <c r="I193" s="6"/>
      <c r="J193" s="8">
        <v>44941</v>
      </c>
      <c r="K193" s="36">
        <v>45231</v>
      </c>
      <c r="L193" s="8">
        <v>45234</v>
      </c>
      <c r="M193" s="8" t="s">
        <v>754</v>
      </c>
      <c r="N193" s="6" t="s">
        <v>301</v>
      </c>
      <c r="O193" s="8" t="s">
        <v>755</v>
      </c>
      <c r="P193" s="6" t="s">
        <v>301</v>
      </c>
      <c r="Q193" s="6" t="s">
        <v>271</v>
      </c>
      <c r="R193" s="6" t="s">
        <v>106</v>
      </c>
      <c r="S193" s="6" t="s">
        <v>169</v>
      </c>
      <c r="T193" s="6" t="s">
        <v>267</v>
      </c>
      <c r="U193" s="6"/>
      <c r="V193" s="6"/>
      <c r="W193" s="6" t="s">
        <v>762</v>
      </c>
    </row>
    <row r="194" spans="2:23" x14ac:dyDescent="0.5">
      <c r="B194" s="6">
        <v>191</v>
      </c>
      <c r="C194" s="8"/>
      <c r="D194" s="6" t="s">
        <v>118</v>
      </c>
      <c r="E194" s="6" t="s">
        <v>71</v>
      </c>
      <c r="F194" s="8">
        <v>44939</v>
      </c>
      <c r="G194" s="6" t="s">
        <v>61</v>
      </c>
      <c r="H194" s="6" t="s">
        <v>278</v>
      </c>
      <c r="I194" s="6" t="s">
        <v>338</v>
      </c>
      <c r="J194" s="8">
        <v>44942</v>
      </c>
      <c r="K194" s="36">
        <v>45108</v>
      </c>
      <c r="L194" s="8"/>
      <c r="M194" s="8" t="s">
        <v>756</v>
      </c>
      <c r="N194" s="6" t="s">
        <v>301</v>
      </c>
      <c r="O194" s="8" t="s">
        <v>760</v>
      </c>
      <c r="P194" s="6" t="s">
        <v>301</v>
      </c>
      <c r="Q194" s="6" t="s">
        <v>266</v>
      </c>
      <c r="R194" s="6" t="s">
        <v>272</v>
      </c>
      <c r="S194" s="6" t="s">
        <v>169</v>
      </c>
      <c r="T194" s="6" t="s">
        <v>267</v>
      </c>
      <c r="U194" s="6" t="s">
        <v>221</v>
      </c>
      <c r="V194" s="6"/>
      <c r="W194" s="6" t="s">
        <v>761</v>
      </c>
    </row>
    <row r="195" spans="2:23" x14ac:dyDescent="0.5">
      <c r="B195" s="6">
        <v>192</v>
      </c>
      <c r="C195" s="8"/>
      <c r="D195" s="6" t="s">
        <v>119</v>
      </c>
      <c r="E195" s="6" t="s">
        <v>71</v>
      </c>
      <c r="F195" s="8">
        <v>44933</v>
      </c>
      <c r="G195" s="6" t="s">
        <v>61</v>
      </c>
      <c r="H195" s="6" t="s">
        <v>278</v>
      </c>
      <c r="I195" s="6" t="s">
        <v>79</v>
      </c>
      <c r="J195" s="8">
        <v>44955</v>
      </c>
      <c r="K195" s="36">
        <v>45170</v>
      </c>
      <c r="L195" s="8">
        <v>45172</v>
      </c>
      <c r="M195" s="8" t="s">
        <v>794</v>
      </c>
      <c r="N195" s="6" t="s">
        <v>269</v>
      </c>
      <c r="O195" s="8" t="s">
        <v>757</v>
      </c>
      <c r="P195" s="6" t="s">
        <v>269</v>
      </c>
      <c r="Q195" s="6" t="s">
        <v>295</v>
      </c>
      <c r="R195" s="6" t="s">
        <v>107</v>
      </c>
      <c r="S195" s="6" t="s">
        <v>169</v>
      </c>
      <c r="T195" s="6" t="s">
        <v>267</v>
      </c>
      <c r="U195" s="6"/>
      <c r="V195" s="6"/>
      <c r="W195" s="6" t="s">
        <v>795</v>
      </c>
    </row>
    <row r="196" spans="2:23" x14ac:dyDescent="0.5">
      <c r="B196" s="6">
        <v>193</v>
      </c>
      <c r="C196" s="8"/>
      <c r="D196" s="6" t="s">
        <v>118</v>
      </c>
      <c r="E196" s="6" t="s">
        <v>70</v>
      </c>
      <c r="F196" s="8">
        <v>44942</v>
      </c>
      <c r="G196" s="6" t="s">
        <v>61</v>
      </c>
      <c r="H196" s="6" t="s">
        <v>278</v>
      </c>
      <c r="I196" s="6" t="s">
        <v>79</v>
      </c>
      <c r="J196" s="8">
        <v>44962</v>
      </c>
      <c r="K196" s="36"/>
      <c r="L196" s="8"/>
      <c r="M196" s="8" t="s">
        <v>812</v>
      </c>
      <c r="N196" s="6" t="s">
        <v>269</v>
      </c>
      <c r="O196" s="8" t="s">
        <v>759</v>
      </c>
      <c r="P196" s="6" t="s">
        <v>269</v>
      </c>
      <c r="Q196" s="6" t="s">
        <v>328</v>
      </c>
      <c r="R196" s="6" t="s">
        <v>397</v>
      </c>
      <c r="S196" s="6" t="s">
        <v>169</v>
      </c>
      <c r="T196" s="6" t="s">
        <v>286</v>
      </c>
      <c r="U196" s="6" t="s">
        <v>406</v>
      </c>
      <c r="V196" s="6" t="s">
        <v>378</v>
      </c>
      <c r="W196" s="6" t="s">
        <v>813</v>
      </c>
    </row>
    <row r="197" spans="2:23" x14ac:dyDescent="0.5">
      <c r="B197" s="6">
        <v>194</v>
      </c>
      <c r="C197" s="8"/>
      <c r="D197" s="6" t="s">
        <v>118</v>
      </c>
      <c r="E197" s="6" t="s">
        <v>52</v>
      </c>
      <c r="F197" s="8">
        <v>44942</v>
      </c>
      <c r="G197" s="6" t="s">
        <v>61</v>
      </c>
      <c r="H197" s="6" t="s">
        <v>77</v>
      </c>
      <c r="I197" s="6"/>
      <c r="J197" s="8">
        <v>44947</v>
      </c>
      <c r="K197" s="36">
        <v>45078</v>
      </c>
      <c r="L197" s="8"/>
      <c r="M197" s="8" t="s">
        <v>758</v>
      </c>
      <c r="N197" s="6" t="s">
        <v>275</v>
      </c>
      <c r="O197" s="8" t="s">
        <v>767</v>
      </c>
      <c r="P197" s="6" t="s">
        <v>275</v>
      </c>
      <c r="Q197" s="6" t="s">
        <v>271</v>
      </c>
      <c r="R197" s="6" t="s">
        <v>107</v>
      </c>
      <c r="S197" s="6" t="s">
        <v>169</v>
      </c>
      <c r="T197" s="6" t="s">
        <v>267</v>
      </c>
      <c r="U197" s="6" t="s">
        <v>480</v>
      </c>
      <c r="V197" s="6" t="s">
        <v>378</v>
      </c>
      <c r="W197" s="6" t="s">
        <v>768</v>
      </c>
    </row>
    <row r="198" spans="2:23" x14ac:dyDescent="0.5">
      <c r="B198" s="6">
        <v>195</v>
      </c>
      <c r="C198" s="8"/>
      <c r="D198" s="6" t="s">
        <v>118</v>
      </c>
      <c r="E198" s="6" t="s">
        <v>52</v>
      </c>
      <c r="F198" s="8">
        <v>44943</v>
      </c>
      <c r="G198" s="6" t="s">
        <v>61</v>
      </c>
      <c r="H198" s="6" t="s">
        <v>65</v>
      </c>
      <c r="I198" s="6"/>
      <c r="J198" s="8">
        <v>44948</v>
      </c>
      <c r="K198" s="36">
        <v>45139</v>
      </c>
      <c r="L198" s="8"/>
      <c r="M198" s="8" t="s">
        <v>763</v>
      </c>
      <c r="N198" s="6" t="s">
        <v>275</v>
      </c>
      <c r="O198" s="8" t="s">
        <v>776</v>
      </c>
      <c r="P198" s="6" t="s">
        <v>301</v>
      </c>
      <c r="Q198" s="6" t="s">
        <v>328</v>
      </c>
      <c r="R198" s="6" t="s">
        <v>285</v>
      </c>
      <c r="S198" s="6" t="s">
        <v>169</v>
      </c>
      <c r="T198" s="6" t="s">
        <v>286</v>
      </c>
      <c r="U198" s="6" t="s">
        <v>139</v>
      </c>
      <c r="V198" s="6" t="s">
        <v>290</v>
      </c>
      <c r="W198" s="6" t="s">
        <v>777</v>
      </c>
    </row>
    <row r="199" spans="2:23" x14ac:dyDescent="0.5">
      <c r="B199" s="6">
        <v>196</v>
      </c>
      <c r="C199" s="8"/>
      <c r="D199" s="6" t="s">
        <v>119</v>
      </c>
      <c r="E199" s="6" t="s">
        <v>70</v>
      </c>
      <c r="F199" s="8">
        <v>44943</v>
      </c>
      <c r="G199" s="6" t="s">
        <v>281</v>
      </c>
      <c r="H199" s="6"/>
      <c r="I199" s="6"/>
      <c r="J199" s="8">
        <v>44955</v>
      </c>
      <c r="K199" s="36">
        <v>45231</v>
      </c>
      <c r="L199" s="8">
        <v>45234</v>
      </c>
      <c r="M199" s="8" t="s">
        <v>796</v>
      </c>
      <c r="N199" s="6" t="s">
        <v>269</v>
      </c>
      <c r="O199" s="8" t="s">
        <v>797</v>
      </c>
      <c r="P199" s="6" t="s">
        <v>269</v>
      </c>
      <c r="Q199" s="6" t="s">
        <v>401</v>
      </c>
      <c r="R199" s="6" t="s">
        <v>397</v>
      </c>
      <c r="S199" s="6" t="s">
        <v>169</v>
      </c>
      <c r="T199" s="6" t="s">
        <v>267</v>
      </c>
      <c r="U199" s="6"/>
      <c r="V199" s="6"/>
      <c r="W199" s="6" t="s">
        <v>798</v>
      </c>
    </row>
    <row r="200" spans="2:23" x14ac:dyDescent="0.5">
      <c r="B200" s="6">
        <v>197</v>
      </c>
      <c r="C200" s="8"/>
      <c r="D200" s="6" t="s">
        <v>119</v>
      </c>
      <c r="E200" s="6" t="s">
        <v>71</v>
      </c>
      <c r="F200" s="8">
        <v>44947</v>
      </c>
      <c r="G200" s="6" t="s">
        <v>281</v>
      </c>
      <c r="H200" s="6" t="s">
        <v>77</v>
      </c>
      <c r="I200" s="6"/>
      <c r="J200" s="8">
        <v>44948</v>
      </c>
      <c r="K200" s="36">
        <v>45078</v>
      </c>
      <c r="L200" s="8">
        <v>45081</v>
      </c>
      <c r="M200" s="8" t="s">
        <v>773</v>
      </c>
      <c r="N200" s="6" t="s">
        <v>275</v>
      </c>
      <c r="O200" s="8" t="s">
        <v>774</v>
      </c>
      <c r="P200" s="6" t="s">
        <v>275</v>
      </c>
      <c r="Q200" s="6" t="s">
        <v>374</v>
      </c>
      <c r="R200" s="6" t="s">
        <v>397</v>
      </c>
      <c r="S200" s="6" t="s">
        <v>169</v>
      </c>
      <c r="T200" s="6" t="s">
        <v>267</v>
      </c>
      <c r="U200" s="6" t="s">
        <v>480</v>
      </c>
      <c r="V200" s="6"/>
      <c r="W200" s="6" t="s">
        <v>775</v>
      </c>
    </row>
    <row r="201" spans="2:23" x14ac:dyDescent="0.5">
      <c r="B201" s="6">
        <v>198</v>
      </c>
      <c r="C201" s="8"/>
      <c r="D201" s="6"/>
      <c r="E201" s="6"/>
      <c r="F201" s="8">
        <v>44947</v>
      </c>
      <c r="G201" s="6" t="s">
        <v>61</v>
      </c>
      <c r="H201" s="6" t="s">
        <v>65</v>
      </c>
      <c r="I201" s="6"/>
      <c r="J201" s="8"/>
      <c r="K201" s="36"/>
      <c r="L201" s="8"/>
      <c r="M201" s="8"/>
      <c r="N201" s="6"/>
      <c r="O201" s="8" t="s">
        <v>764</v>
      </c>
      <c r="P201" s="6"/>
      <c r="Q201" s="6"/>
      <c r="R201" s="6"/>
      <c r="S201" s="6"/>
      <c r="T201" s="6"/>
      <c r="U201" s="6"/>
      <c r="V201" s="6"/>
      <c r="W201" s="6" t="s">
        <v>765</v>
      </c>
    </row>
    <row r="202" spans="2:23" x14ac:dyDescent="0.5">
      <c r="B202" s="6">
        <v>199</v>
      </c>
      <c r="C202" s="61"/>
      <c r="D202" s="60"/>
      <c r="E202" s="60"/>
      <c r="F202" s="61">
        <v>44947</v>
      </c>
      <c r="G202" s="60" t="s">
        <v>61</v>
      </c>
      <c r="H202" s="60" t="s">
        <v>278</v>
      </c>
      <c r="I202" s="60" t="s">
        <v>79</v>
      </c>
      <c r="J202" s="61"/>
      <c r="K202" s="62"/>
      <c r="L202" s="61"/>
      <c r="M202" s="61" t="s">
        <v>766</v>
      </c>
      <c r="N202" s="60"/>
      <c r="O202" s="61"/>
      <c r="P202" s="60"/>
      <c r="Q202" s="60"/>
      <c r="R202" s="60"/>
      <c r="S202" s="60"/>
      <c r="T202" s="60"/>
      <c r="U202" s="60"/>
      <c r="V202" s="60"/>
      <c r="W202" s="60" t="s">
        <v>780</v>
      </c>
    </row>
    <row r="203" spans="2:23" x14ac:dyDescent="0.5">
      <c r="B203" s="6">
        <v>200</v>
      </c>
      <c r="C203" s="8"/>
      <c r="D203" s="6"/>
      <c r="E203" s="6"/>
      <c r="F203" s="8">
        <v>44948</v>
      </c>
      <c r="G203" s="6" t="s">
        <v>61</v>
      </c>
      <c r="H203" s="6" t="s">
        <v>65</v>
      </c>
      <c r="I203" s="6"/>
      <c r="J203" s="8"/>
      <c r="K203" s="36"/>
      <c r="L203" s="8"/>
      <c r="M203" s="8" t="s">
        <v>769</v>
      </c>
      <c r="N203" s="6"/>
      <c r="O203" s="8"/>
      <c r="P203" s="6"/>
      <c r="Q203" s="6"/>
      <c r="R203" s="6"/>
      <c r="S203" s="6"/>
      <c r="T203" s="6"/>
      <c r="U203" s="6"/>
      <c r="V203" s="6"/>
      <c r="W203" s="6" t="s">
        <v>770</v>
      </c>
    </row>
    <row r="204" spans="2:23" x14ac:dyDescent="0.5">
      <c r="B204" s="60">
        <v>201</v>
      </c>
      <c r="C204" s="61"/>
      <c r="D204" s="60"/>
      <c r="E204" s="60"/>
      <c r="F204" s="61">
        <v>44949</v>
      </c>
      <c r="G204" s="60" t="s">
        <v>61</v>
      </c>
      <c r="H204" s="60" t="s">
        <v>278</v>
      </c>
      <c r="I204" s="60" t="s">
        <v>254</v>
      </c>
      <c r="J204" s="61"/>
      <c r="K204" s="62"/>
      <c r="L204" s="61"/>
      <c r="M204" s="61"/>
      <c r="N204" s="60"/>
      <c r="O204" s="61" t="s">
        <v>778</v>
      </c>
      <c r="P204" s="60"/>
      <c r="Q204" s="60"/>
      <c r="R204" s="60"/>
      <c r="S204" s="60"/>
      <c r="T204" s="60"/>
      <c r="U204" s="60"/>
      <c r="V204" s="60"/>
      <c r="W204" s="60" t="s">
        <v>779</v>
      </c>
    </row>
    <row r="205" spans="2:23" x14ac:dyDescent="0.5">
      <c r="B205" s="6">
        <v>202</v>
      </c>
      <c r="C205" s="8">
        <v>44958</v>
      </c>
      <c r="D205" s="6" t="s">
        <v>66</v>
      </c>
      <c r="E205" s="6" t="s">
        <v>52</v>
      </c>
      <c r="F205" s="8">
        <v>44950</v>
      </c>
      <c r="G205" s="6" t="s">
        <v>72</v>
      </c>
      <c r="H205" s="6" t="s">
        <v>77</v>
      </c>
      <c r="I205" s="6"/>
      <c r="J205" s="8">
        <v>44954</v>
      </c>
      <c r="K205" s="36">
        <v>45108</v>
      </c>
      <c r="L205" s="8">
        <v>45115</v>
      </c>
      <c r="M205" s="8" t="s">
        <v>783</v>
      </c>
      <c r="N205" s="6" t="s">
        <v>318</v>
      </c>
      <c r="O205" s="8" t="s">
        <v>784</v>
      </c>
      <c r="P205" s="6" t="s">
        <v>275</v>
      </c>
      <c r="Q205" s="6" t="s">
        <v>266</v>
      </c>
      <c r="R205" s="6" t="s">
        <v>106</v>
      </c>
      <c r="S205" s="6" t="s">
        <v>149</v>
      </c>
      <c r="T205" s="6" t="s">
        <v>267</v>
      </c>
      <c r="U205" s="6"/>
      <c r="V205" s="6"/>
      <c r="W205" s="6" t="s">
        <v>785</v>
      </c>
    </row>
    <row r="206" spans="2:23" x14ac:dyDescent="0.5">
      <c r="B206" s="6">
        <v>203</v>
      </c>
      <c r="C206" s="8"/>
      <c r="D206" s="6"/>
      <c r="E206" s="6"/>
      <c r="F206" s="8">
        <v>44953</v>
      </c>
      <c r="G206" s="6" t="s">
        <v>262</v>
      </c>
      <c r="H206" s="6" t="s">
        <v>65</v>
      </c>
      <c r="I206" s="6"/>
      <c r="J206" s="8"/>
      <c r="K206" s="36"/>
      <c r="L206" s="8"/>
      <c r="M206" s="8" t="s">
        <v>781</v>
      </c>
      <c r="N206" s="6"/>
      <c r="O206" s="8"/>
      <c r="P206" s="6"/>
      <c r="Q206" s="6"/>
      <c r="R206" s="6"/>
      <c r="S206" s="6"/>
      <c r="T206" s="6"/>
      <c r="U206" s="6"/>
      <c r="V206" s="6"/>
      <c r="W206" s="6" t="s">
        <v>782</v>
      </c>
    </row>
    <row r="207" spans="2:23" x14ac:dyDescent="0.5">
      <c r="B207" s="6">
        <v>204</v>
      </c>
      <c r="C207" s="8"/>
      <c r="D207" s="6"/>
      <c r="E207" s="6"/>
      <c r="F207" s="8">
        <v>44953</v>
      </c>
      <c r="G207" s="6" t="s">
        <v>72</v>
      </c>
      <c r="H207" s="6"/>
      <c r="I207" s="6"/>
      <c r="J207" s="8"/>
      <c r="K207" s="36"/>
      <c r="L207" s="8"/>
      <c r="M207" s="8"/>
      <c r="N207" s="6"/>
      <c r="O207" s="8" t="s">
        <v>787</v>
      </c>
      <c r="P207" s="6"/>
      <c r="Q207" s="6"/>
      <c r="R207" s="6"/>
      <c r="S207" s="6"/>
      <c r="T207" s="6"/>
      <c r="U207" s="6"/>
      <c r="V207" s="6"/>
      <c r="W207" s="6" t="s">
        <v>786</v>
      </c>
    </row>
    <row r="208" spans="2:23" x14ac:dyDescent="0.5">
      <c r="B208" s="6">
        <v>205</v>
      </c>
      <c r="C208" s="8"/>
      <c r="D208" s="6"/>
      <c r="E208" s="6"/>
      <c r="F208" s="8">
        <v>44954</v>
      </c>
      <c r="G208" s="6" t="s">
        <v>5</v>
      </c>
      <c r="H208" s="6"/>
      <c r="I208" s="6"/>
      <c r="J208" s="8">
        <v>44976</v>
      </c>
      <c r="K208" s="36"/>
      <c r="L208" s="8"/>
      <c r="M208" s="8" t="s">
        <v>788</v>
      </c>
      <c r="N208" s="6"/>
      <c r="O208" s="8" t="s">
        <v>789</v>
      </c>
      <c r="P208" s="6"/>
      <c r="Q208" s="6"/>
      <c r="R208" s="6"/>
      <c r="S208" s="6"/>
      <c r="T208" s="6"/>
      <c r="U208" s="6"/>
      <c r="V208" s="6"/>
      <c r="W208" s="6" t="s">
        <v>790</v>
      </c>
    </row>
    <row r="209" spans="2:23" x14ac:dyDescent="0.5">
      <c r="B209" s="6">
        <v>206</v>
      </c>
      <c r="C209" s="8"/>
      <c r="D209" s="6" t="s">
        <v>119</v>
      </c>
      <c r="E209" s="6" t="s">
        <v>71</v>
      </c>
      <c r="F209" s="8">
        <v>44954</v>
      </c>
      <c r="G209" s="6" t="s">
        <v>5</v>
      </c>
      <c r="H209" s="6" t="s">
        <v>77</v>
      </c>
      <c r="I209" s="6"/>
      <c r="J209" s="8">
        <v>44954</v>
      </c>
      <c r="K209" s="36">
        <v>45078</v>
      </c>
      <c r="L209" s="8">
        <v>45088</v>
      </c>
      <c r="M209" s="8" t="s">
        <v>791</v>
      </c>
      <c r="N209" s="6" t="s">
        <v>275</v>
      </c>
      <c r="O209" s="8" t="s">
        <v>792</v>
      </c>
      <c r="P209" s="6" t="s">
        <v>269</v>
      </c>
      <c r="Q209" s="6" t="s">
        <v>295</v>
      </c>
      <c r="R209" s="6" t="s">
        <v>106</v>
      </c>
      <c r="S209" s="6" t="s">
        <v>169</v>
      </c>
      <c r="T209" s="6" t="s">
        <v>267</v>
      </c>
      <c r="U209" s="6"/>
      <c r="V209" s="6"/>
      <c r="W209" s="6" t="s">
        <v>793</v>
      </c>
    </row>
    <row r="210" spans="2:23" x14ac:dyDescent="0.5">
      <c r="B210" s="6">
        <v>207</v>
      </c>
      <c r="C210" s="8"/>
      <c r="D210" s="6"/>
      <c r="E210" s="6" t="s">
        <v>52</v>
      </c>
      <c r="F210" s="8">
        <v>44955</v>
      </c>
      <c r="G210" s="6" t="s">
        <v>61</v>
      </c>
      <c r="H210" s="6" t="s">
        <v>278</v>
      </c>
      <c r="I210" s="6" t="s">
        <v>336</v>
      </c>
      <c r="J210" s="8">
        <v>44962</v>
      </c>
      <c r="K210" s="36"/>
      <c r="L210" s="8"/>
      <c r="M210" s="8" t="s">
        <v>802</v>
      </c>
      <c r="N210" s="6" t="s">
        <v>269</v>
      </c>
      <c r="O210" s="8" t="s">
        <v>807</v>
      </c>
      <c r="P210" s="6" t="s">
        <v>269</v>
      </c>
      <c r="Q210" s="6" t="s">
        <v>266</v>
      </c>
      <c r="R210" s="6" t="s">
        <v>107</v>
      </c>
      <c r="S210" s="6" t="s">
        <v>166</v>
      </c>
      <c r="T210" s="6" t="s">
        <v>381</v>
      </c>
      <c r="U210" s="6" t="s">
        <v>274</v>
      </c>
      <c r="V210" s="6" t="s">
        <v>283</v>
      </c>
      <c r="W210" s="6" t="s">
        <v>808</v>
      </c>
    </row>
    <row r="211" spans="2:23" x14ac:dyDescent="0.5">
      <c r="B211" s="6">
        <v>208</v>
      </c>
      <c r="C211" s="8"/>
      <c r="D211" s="6"/>
      <c r="E211" s="6"/>
      <c r="F211" s="8">
        <v>44955</v>
      </c>
      <c r="G211" s="6" t="s">
        <v>61</v>
      </c>
      <c r="H211" s="6" t="s">
        <v>278</v>
      </c>
      <c r="I211" s="6" t="s">
        <v>336</v>
      </c>
      <c r="J211" s="8">
        <v>44983</v>
      </c>
      <c r="K211" s="36"/>
      <c r="L211" s="8"/>
      <c r="M211" s="8"/>
      <c r="N211" s="6"/>
      <c r="O211" s="8" t="s">
        <v>801</v>
      </c>
      <c r="P211" s="6"/>
      <c r="Q211" s="6"/>
      <c r="R211" s="6"/>
      <c r="S211" s="6"/>
      <c r="T211" s="6"/>
      <c r="U211" s="6"/>
      <c r="V211" s="6"/>
      <c r="W211" s="6"/>
    </row>
    <row r="212" spans="2:23" x14ac:dyDescent="0.5">
      <c r="B212" s="6">
        <v>209</v>
      </c>
      <c r="C212" s="8"/>
      <c r="D212" s="6"/>
      <c r="E212" s="6"/>
      <c r="F212" s="8">
        <v>44956</v>
      </c>
      <c r="G212" s="6" t="s">
        <v>262</v>
      </c>
      <c r="H212" s="6" t="s">
        <v>65</v>
      </c>
      <c r="I212" s="6"/>
      <c r="J212" s="8"/>
      <c r="K212" s="36"/>
      <c r="L212" s="8"/>
      <c r="M212" s="8"/>
      <c r="N212" s="6"/>
      <c r="O212" s="8" t="s">
        <v>803</v>
      </c>
      <c r="P212" s="6"/>
      <c r="Q212" s="6"/>
      <c r="R212" s="6"/>
      <c r="S212" s="6"/>
      <c r="T212" s="6"/>
      <c r="U212" s="6"/>
      <c r="V212" s="6"/>
      <c r="W212" s="6" t="s">
        <v>804</v>
      </c>
    </row>
    <row r="213" spans="2:23" x14ac:dyDescent="0.5">
      <c r="B213" s="6">
        <v>210</v>
      </c>
      <c r="C213" s="8"/>
      <c r="D213" s="6" t="s">
        <v>119</v>
      </c>
      <c r="E213" s="6" t="s">
        <v>71</v>
      </c>
      <c r="F213" s="8">
        <v>44594</v>
      </c>
      <c r="G213" s="6" t="s">
        <v>61</v>
      </c>
      <c r="H213" s="6" t="s">
        <v>278</v>
      </c>
      <c r="I213" s="6"/>
      <c r="J213" s="8">
        <v>44597</v>
      </c>
      <c r="K213" s="36">
        <v>45200</v>
      </c>
      <c r="L213" s="8">
        <v>45228</v>
      </c>
      <c r="M213" s="8" t="s">
        <v>809</v>
      </c>
      <c r="N213" s="6" t="s">
        <v>269</v>
      </c>
      <c r="O213" s="8" t="s">
        <v>810</v>
      </c>
      <c r="P213" s="6" t="s">
        <v>269</v>
      </c>
      <c r="Q213" s="6" t="s">
        <v>374</v>
      </c>
      <c r="R213" s="6" t="s">
        <v>285</v>
      </c>
      <c r="S213" s="6" t="s">
        <v>169</v>
      </c>
      <c r="T213" s="6" t="s">
        <v>267</v>
      </c>
      <c r="U213" s="6" t="s">
        <v>411</v>
      </c>
      <c r="V213" s="6"/>
      <c r="W213" s="6" t="s">
        <v>811</v>
      </c>
    </row>
    <row r="214" spans="2:23" x14ac:dyDescent="0.5">
      <c r="B214" s="6">
        <v>211</v>
      </c>
      <c r="C214" s="8"/>
      <c r="D214" s="6"/>
      <c r="E214" s="6"/>
      <c r="F214" s="8">
        <v>44597</v>
      </c>
      <c r="G214" s="6" t="s">
        <v>61</v>
      </c>
      <c r="H214" s="6" t="s">
        <v>65</v>
      </c>
      <c r="I214" s="6"/>
      <c r="J214" s="8"/>
      <c r="K214" s="36"/>
      <c r="L214" s="8"/>
      <c r="M214" s="8"/>
      <c r="N214" s="6"/>
      <c r="O214" s="8" t="s">
        <v>805</v>
      </c>
      <c r="P214" s="6"/>
      <c r="Q214" s="6"/>
      <c r="R214" s="6"/>
      <c r="S214" s="6"/>
      <c r="T214" s="6"/>
      <c r="U214" s="6"/>
      <c r="V214" s="6"/>
      <c r="W214" s="6" t="s">
        <v>806</v>
      </c>
    </row>
    <row r="215" spans="2:23" x14ac:dyDescent="0.5">
      <c r="B215" s="6">
        <v>212</v>
      </c>
      <c r="C215" s="8"/>
      <c r="D215" s="6"/>
      <c r="E215" s="6"/>
      <c r="F215" s="8"/>
      <c r="G215" s="6"/>
      <c r="H215" s="6"/>
      <c r="I215" s="6"/>
      <c r="J215" s="8"/>
      <c r="K215" s="36"/>
      <c r="L215" s="8"/>
      <c r="M215" s="8"/>
      <c r="N215" s="6"/>
      <c r="O215" s="8"/>
      <c r="P215" s="6"/>
      <c r="Q215" s="6"/>
      <c r="R215" s="6"/>
      <c r="S215" s="6"/>
      <c r="T215" s="6"/>
      <c r="U215" s="6"/>
      <c r="V215" s="6"/>
      <c r="W215" s="6"/>
    </row>
    <row r="216" spans="2:23" x14ac:dyDescent="0.5">
      <c r="B216" s="6">
        <v>213</v>
      </c>
      <c r="C216" s="8"/>
      <c r="D216" s="6"/>
      <c r="E216" s="6"/>
      <c r="F216" s="8"/>
      <c r="G216" s="6"/>
      <c r="H216" s="6"/>
      <c r="I216" s="6"/>
      <c r="J216" s="8"/>
      <c r="K216" s="36"/>
      <c r="L216" s="8"/>
      <c r="M216" s="8"/>
      <c r="N216" s="6"/>
      <c r="O216" s="8"/>
      <c r="P216" s="6"/>
      <c r="Q216" s="6"/>
      <c r="R216" s="6"/>
      <c r="S216" s="6"/>
      <c r="T216" s="6"/>
      <c r="U216" s="6"/>
      <c r="V216" s="6"/>
      <c r="W216" s="6"/>
    </row>
    <row r="217" spans="2:23" x14ac:dyDescent="0.5">
      <c r="B217" s="6">
        <v>214</v>
      </c>
      <c r="C217" s="8"/>
      <c r="D217" s="6"/>
      <c r="E217" s="6"/>
      <c r="F217" s="8"/>
      <c r="G217" s="6"/>
      <c r="H217" s="6"/>
      <c r="I217" s="6"/>
      <c r="J217" s="8"/>
      <c r="K217" s="36"/>
      <c r="L217" s="8"/>
      <c r="M217" s="8"/>
      <c r="N217" s="6"/>
      <c r="O217" s="8"/>
      <c r="P217" s="6"/>
      <c r="Q217" s="6"/>
      <c r="R217" s="6"/>
      <c r="S217" s="6"/>
      <c r="T217" s="6"/>
      <c r="U217" s="6"/>
      <c r="V217" s="6"/>
      <c r="W217" s="6"/>
    </row>
    <row r="218" spans="2:23" x14ac:dyDescent="0.5">
      <c r="B218" s="6">
        <v>215</v>
      </c>
      <c r="C218" s="8"/>
      <c r="D218" s="6"/>
      <c r="E218" s="6"/>
      <c r="F218" s="8"/>
      <c r="G218" s="6"/>
      <c r="H218" s="6"/>
      <c r="I218" s="6"/>
      <c r="J218" s="8"/>
      <c r="K218" s="36"/>
      <c r="L218" s="8"/>
      <c r="M218" s="8"/>
      <c r="N218" s="6"/>
      <c r="O218" s="8"/>
      <c r="P218" s="6"/>
      <c r="Q218" s="6"/>
      <c r="R218" s="6"/>
      <c r="S218" s="6"/>
      <c r="T218" s="6"/>
      <c r="U218" s="6"/>
      <c r="V218" s="6"/>
      <c r="W218" s="6"/>
    </row>
    <row r="219" spans="2:23" x14ac:dyDescent="0.5">
      <c r="B219" s="6">
        <v>216</v>
      </c>
      <c r="C219" s="8"/>
      <c r="D219" s="6"/>
      <c r="E219" s="6"/>
      <c r="F219" s="8"/>
      <c r="G219" s="6"/>
      <c r="H219" s="6"/>
      <c r="I219" s="6"/>
      <c r="J219" s="8"/>
      <c r="K219" s="36"/>
      <c r="L219" s="8"/>
      <c r="M219" s="8"/>
      <c r="N219" s="6"/>
      <c r="O219" s="8"/>
      <c r="P219" s="6"/>
      <c r="Q219" s="6"/>
      <c r="R219" s="6"/>
      <c r="S219" s="6"/>
      <c r="T219" s="6"/>
      <c r="U219" s="6"/>
      <c r="V219" s="6"/>
      <c r="W219" s="6"/>
    </row>
    <row r="220" spans="2:23" x14ac:dyDescent="0.5">
      <c r="B220" s="6">
        <v>217</v>
      </c>
      <c r="C220" s="8"/>
      <c r="D220" s="6"/>
      <c r="E220" s="6"/>
      <c r="F220" s="8"/>
      <c r="G220" s="6"/>
      <c r="H220" s="6"/>
      <c r="I220" s="6"/>
      <c r="J220" s="8"/>
      <c r="K220" s="36"/>
      <c r="L220" s="8"/>
      <c r="M220" s="8"/>
      <c r="N220" s="6"/>
      <c r="O220" s="8"/>
      <c r="P220" s="6"/>
      <c r="Q220" s="6"/>
      <c r="R220" s="6"/>
      <c r="S220" s="6"/>
      <c r="T220" s="6"/>
      <c r="U220" s="6"/>
      <c r="V220" s="6"/>
      <c r="W220" s="6"/>
    </row>
    <row r="221" spans="2:23" x14ac:dyDescent="0.5">
      <c r="B221" s="6">
        <v>218</v>
      </c>
      <c r="C221" s="8"/>
      <c r="D221" s="6"/>
      <c r="E221" s="6"/>
      <c r="F221" s="8"/>
      <c r="G221" s="6"/>
      <c r="H221" s="6"/>
      <c r="I221" s="6"/>
      <c r="J221" s="8"/>
      <c r="K221" s="36"/>
      <c r="L221" s="8"/>
      <c r="M221" s="8"/>
      <c r="N221" s="6"/>
      <c r="O221" s="8"/>
      <c r="P221" s="6"/>
      <c r="Q221" s="6"/>
      <c r="R221" s="6"/>
      <c r="S221" s="6"/>
      <c r="T221" s="6"/>
      <c r="U221" s="6"/>
      <c r="V221" s="6"/>
      <c r="W221" s="6"/>
    </row>
    <row r="222" spans="2:23" x14ac:dyDescent="0.5">
      <c r="B222" s="6">
        <v>219</v>
      </c>
      <c r="C222" s="8"/>
      <c r="D222" s="6"/>
      <c r="E222" s="6"/>
      <c r="F222" s="8"/>
      <c r="G222" s="6"/>
      <c r="H222" s="6"/>
      <c r="I222" s="6"/>
      <c r="J222" s="8"/>
      <c r="K222" s="36"/>
      <c r="L222" s="8"/>
      <c r="M222" s="8"/>
      <c r="N222" s="6"/>
      <c r="O222" s="8"/>
      <c r="P222" s="6"/>
      <c r="Q222" s="6"/>
      <c r="R222" s="6"/>
      <c r="S222" s="6"/>
      <c r="T222" s="6"/>
      <c r="U222" s="6"/>
      <c r="V222" s="6"/>
      <c r="W222" s="6"/>
    </row>
    <row r="223" spans="2:23" x14ac:dyDescent="0.5">
      <c r="B223" s="6">
        <v>220</v>
      </c>
      <c r="C223" s="8"/>
      <c r="D223" s="6"/>
      <c r="E223" s="6"/>
      <c r="F223" s="8"/>
      <c r="G223" s="6"/>
      <c r="H223" s="6"/>
      <c r="I223" s="6"/>
      <c r="J223" s="8"/>
      <c r="K223" s="36"/>
      <c r="L223" s="8"/>
      <c r="M223" s="8"/>
      <c r="N223" s="6"/>
      <c r="O223" s="8"/>
      <c r="P223" s="6"/>
      <c r="Q223" s="6"/>
      <c r="R223" s="6"/>
      <c r="S223" s="6"/>
      <c r="T223" s="6"/>
      <c r="U223" s="6"/>
      <c r="V223" s="6"/>
      <c r="W223" s="6"/>
    </row>
    <row r="224" spans="2:23" x14ac:dyDescent="0.5">
      <c r="B224" s="6">
        <v>221</v>
      </c>
      <c r="C224" s="8"/>
      <c r="D224" s="6"/>
      <c r="E224" s="6"/>
      <c r="F224" s="8"/>
      <c r="G224" s="6"/>
      <c r="H224" s="6"/>
      <c r="I224" s="6"/>
      <c r="J224" s="8"/>
      <c r="K224" s="36"/>
      <c r="L224" s="8"/>
      <c r="M224" s="8"/>
      <c r="N224" s="6"/>
      <c r="O224" s="8"/>
      <c r="P224" s="6"/>
      <c r="Q224" s="6"/>
      <c r="R224" s="6"/>
      <c r="S224" s="6"/>
      <c r="T224" s="6"/>
      <c r="U224" s="6"/>
      <c r="V224" s="6"/>
      <c r="W224" s="6"/>
    </row>
    <row r="225" spans="2:23" x14ac:dyDescent="0.5">
      <c r="B225" s="6">
        <v>222</v>
      </c>
      <c r="C225" s="8"/>
      <c r="D225" s="6"/>
      <c r="E225" s="6"/>
      <c r="F225" s="8"/>
      <c r="G225" s="6"/>
      <c r="H225" s="6"/>
      <c r="I225" s="6"/>
      <c r="J225" s="8"/>
      <c r="K225" s="36"/>
      <c r="L225" s="8"/>
      <c r="M225" s="8"/>
      <c r="N225" s="6"/>
      <c r="O225" s="8"/>
      <c r="P225" s="6"/>
      <c r="Q225" s="6"/>
      <c r="R225" s="6"/>
      <c r="S225" s="6"/>
      <c r="T225" s="6"/>
      <c r="U225" s="6"/>
      <c r="V225" s="6"/>
      <c r="W225" s="6"/>
    </row>
    <row r="226" spans="2:23" x14ac:dyDescent="0.5">
      <c r="B226" s="6">
        <v>223</v>
      </c>
      <c r="C226" s="8"/>
      <c r="D226" s="6"/>
      <c r="E226" s="6"/>
      <c r="F226" s="8"/>
      <c r="G226" s="6"/>
      <c r="H226" s="6"/>
      <c r="I226" s="6"/>
      <c r="J226" s="8"/>
      <c r="K226" s="36"/>
      <c r="L226" s="8"/>
      <c r="M226" s="8"/>
      <c r="N226" s="6"/>
      <c r="O226" s="8"/>
      <c r="P226" s="6"/>
      <c r="Q226" s="6"/>
      <c r="R226" s="6"/>
      <c r="S226" s="6"/>
      <c r="T226" s="6"/>
      <c r="U226" s="6"/>
      <c r="V226" s="6"/>
      <c r="W226" s="6"/>
    </row>
    <row r="227" spans="2:23" x14ac:dyDescent="0.5">
      <c r="B227" s="6">
        <v>224</v>
      </c>
      <c r="C227" s="8"/>
      <c r="D227" s="6"/>
      <c r="E227" s="6"/>
      <c r="F227" s="8"/>
      <c r="G227" s="6"/>
      <c r="H227" s="6"/>
      <c r="I227" s="6"/>
      <c r="J227" s="8"/>
      <c r="K227" s="36"/>
      <c r="L227" s="8"/>
      <c r="M227" s="8"/>
      <c r="N227" s="6"/>
      <c r="O227" s="8"/>
      <c r="P227" s="6"/>
      <c r="Q227" s="6"/>
      <c r="R227" s="6"/>
      <c r="S227" s="6"/>
      <c r="T227" s="6"/>
      <c r="U227" s="6"/>
      <c r="V227" s="6"/>
      <c r="W227" s="6"/>
    </row>
    <row r="228" spans="2:23" x14ac:dyDescent="0.5">
      <c r="B228" s="6">
        <v>225</v>
      </c>
      <c r="C228" s="8"/>
      <c r="D228" s="6"/>
      <c r="E228" s="6"/>
      <c r="F228" s="8"/>
      <c r="G228" s="6"/>
      <c r="H228" s="6"/>
      <c r="I228" s="6"/>
      <c r="J228" s="8"/>
      <c r="K228" s="36"/>
      <c r="L228" s="8"/>
      <c r="M228" s="8"/>
      <c r="N228" s="6"/>
      <c r="O228" s="8"/>
      <c r="P228" s="6"/>
      <c r="Q228" s="6"/>
      <c r="R228" s="6"/>
      <c r="S228" s="6"/>
      <c r="T228" s="6"/>
      <c r="U228" s="6"/>
      <c r="V228" s="6"/>
      <c r="W228" s="6"/>
    </row>
    <row r="229" spans="2:23" x14ac:dyDescent="0.5">
      <c r="B229" s="6">
        <v>226</v>
      </c>
      <c r="C229" s="8"/>
      <c r="D229" s="6"/>
      <c r="E229" s="6"/>
      <c r="F229" s="8"/>
      <c r="G229" s="6"/>
      <c r="H229" s="6"/>
      <c r="I229" s="6"/>
      <c r="J229" s="8"/>
      <c r="K229" s="36"/>
      <c r="L229" s="8"/>
      <c r="M229" s="8"/>
      <c r="N229" s="6"/>
      <c r="O229" s="8"/>
      <c r="P229" s="6"/>
      <c r="Q229" s="6"/>
      <c r="R229" s="6"/>
      <c r="S229" s="6"/>
      <c r="T229" s="6"/>
      <c r="U229" s="6"/>
      <c r="V229" s="6"/>
      <c r="W229" s="6"/>
    </row>
    <row r="230" spans="2:23" x14ac:dyDescent="0.5">
      <c r="B230" s="6">
        <v>227</v>
      </c>
      <c r="C230" s="8"/>
      <c r="D230" s="6"/>
      <c r="E230" s="6"/>
      <c r="F230" s="8"/>
      <c r="G230" s="6"/>
      <c r="H230" s="6"/>
      <c r="I230" s="6"/>
      <c r="J230" s="8"/>
      <c r="K230" s="36"/>
      <c r="L230" s="8"/>
      <c r="M230" s="8"/>
      <c r="N230" s="6"/>
      <c r="O230" s="8"/>
      <c r="P230" s="6"/>
      <c r="Q230" s="6"/>
      <c r="R230" s="6"/>
      <c r="S230" s="6"/>
      <c r="T230" s="6"/>
      <c r="U230" s="6"/>
      <c r="V230" s="6"/>
      <c r="W230" s="6"/>
    </row>
    <row r="231" spans="2:23" x14ac:dyDescent="0.5">
      <c r="B231" s="6">
        <v>228</v>
      </c>
      <c r="C231" s="8"/>
      <c r="D231" s="6"/>
      <c r="E231" s="6"/>
      <c r="F231" s="8"/>
      <c r="G231" s="6"/>
      <c r="H231" s="6"/>
      <c r="I231" s="6"/>
      <c r="J231" s="8"/>
      <c r="K231" s="36"/>
      <c r="L231" s="8"/>
      <c r="M231" s="8"/>
      <c r="N231" s="6"/>
      <c r="O231" s="8"/>
      <c r="P231" s="6"/>
      <c r="Q231" s="6"/>
      <c r="R231" s="6"/>
      <c r="S231" s="6"/>
      <c r="T231" s="6"/>
      <c r="U231" s="6"/>
      <c r="V231" s="6"/>
      <c r="W231" s="6"/>
    </row>
    <row r="232" spans="2:23" x14ac:dyDescent="0.5">
      <c r="B232" s="6">
        <v>229</v>
      </c>
      <c r="C232" s="8"/>
      <c r="D232" s="6"/>
      <c r="E232" s="6"/>
      <c r="F232" s="8"/>
      <c r="G232" s="6"/>
      <c r="H232" s="6"/>
      <c r="I232" s="6"/>
      <c r="J232" s="8"/>
      <c r="K232" s="36"/>
      <c r="L232" s="8"/>
      <c r="M232" s="8"/>
      <c r="N232" s="6"/>
      <c r="O232" s="8"/>
      <c r="P232" s="6"/>
      <c r="Q232" s="6"/>
      <c r="R232" s="6"/>
      <c r="S232" s="6"/>
      <c r="T232" s="6"/>
      <c r="U232" s="6"/>
      <c r="V232" s="6"/>
      <c r="W232" s="6"/>
    </row>
  </sheetData>
  <autoFilter ref="A3:W232" xr:uid="{00000000-0009-0000-0000-000000000000}">
    <sortState xmlns:xlrd2="http://schemas.microsoft.com/office/spreadsheetml/2017/richdata2" ref="A4:W203">
      <sortCondition ref="J3:J203"/>
    </sortState>
  </autoFilter>
  <mergeCells count="3">
    <mergeCell ref="F2:I2"/>
    <mergeCell ref="J2:V2"/>
    <mergeCell ref="C2:E2"/>
  </mergeCells>
  <phoneticPr fontId="4"/>
  <conditionalFormatting sqref="B4:W232">
    <cfRule type="expression" dxfId="5" priority="1">
      <formula>$D4="仮予約"</formula>
    </cfRule>
    <cfRule type="expression" dxfId="4" priority="2">
      <formula>$D4="キャンセル"</formula>
    </cfRule>
    <cfRule type="expression" dxfId="3" priority="3">
      <formula>$D4="ロスト"</formula>
    </cfRule>
    <cfRule type="expression" dxfId="2" priority="4">
      <formula>$D4="成約（仮なしより）"</formula>
    </cfRule>
    <cfRule type="expression" dxfId="1" priority="5">
      <formula>$D4="成約（仮より）"</formula>
    </cfRule>
    <cfRule type="expression" dxfId="0" priority="6">
      <formula>$D4="成約（即決）"</formula>
    </cfRule>
  </conditionalFormatting>
  <dataValidations count="12">
    <dataValidation type="list" allowBlank="1" showInputMessage="1" showErrorMessage="1" sqref="H4:H232" xr:uid="{00000000-0002-0000-0000-000000000000}">
      <formula1>$AC$4:$AC$6</formula1>
    </dataValidation>
    <dataValidation type="list" allowBlank="1" showInputMessage="1" showErrorMessage="1" sqref="I4:I232" xr:uid="{00000000-0002-0000-0000-000001000000}">
      <formula1>$AD$4:$AD$9</formula1>
    </dataValidation>
    <dataValidation type="list" allowBlank="1" showInputMessage="1" showErrorMessage="1" sqref="Q4:Q232" xr:uid="{00000000-0002-0000-0000-000002000000}">
      <formula1>$AE$4:$AE$14</formula1>
    </dataValidation>
    <dataValidation type="list" allowBlank="1" showInputMessage="1" showErrorMessage="1" sqref="U4:V232" xr:uid="{00000000-0002-0000-0000-000003000000}">
      <formula1>$AI$4:$AI$27</formula1>
    </dataValidation>
    <dataValidation type="list" allowBlank="1" showInputMessage="1" showErrorMessage="1" sqref="P4:P232 N4:N232" xr:uid="{00000000-0002-0000-0000-000004000000}">
      <formula1>$AJ$4:$AJ$11</formula1>
    </dataValidation>
    <dataValidation type="list" allowBlank="1" showInputMessage="1" showErrorMessage="1" sqref="R4:R232" xr:uid="{00000000-0002-0000-0000-000005000000}">
      <formula1>$AF$4:$AF$13</formula1>
    </dataValidation>
    <dataValidation type="list" allowBlank="1" showInputMessage="1" showErrorMessage="1" sqref="G4:G232" xr:uid="{00000000-0002-0000-0000-000006000000}">
      <formula1>$AB$4:$AB$11</formula1>
    </dataValidation>
    <dataValidation type="list" allowBlank="1" showInputMessage="1" showErrorMessage="1" sqref="E4:E232" xr:uid="{00000000-0002-0000-0000-000007000000}">
      <formula1>$AA$4:$AA$7</formula1>
    </dataValidation>
    <dataValidation type="list" allowBlank="1" showInputMessage="1" showErrorMessage="1" sqref="D4:D232" xr:uid="{00000000-0002-0000-0000-000008000000}">
      <formula1>$Z$4:$Z$12</formula1>
    </dataValidation>
    <dataValidation type="list" allowBlank="1" showInputMessage="1" showErrorMessage="1" sqref="S4:S232" xr:uid="{00000000-0002-0000-0000-000009000000}">
      <formula1>$AG$4:$AG$8</formula1>
    </dataValidation>
    <dataValidation type="list" allowBlank="1" showInputMessage="1" showErrorMessage="1" sqref="T4:T232" xr:uid="{00000000-0002-0000-0000-00000A000000}">
      <formula1>$AH$4:$AH$7</formula1>
    </dataValidation>
    <dataValidation type="list" allowBlank="1" showInputMessage="1" showErrorMessage="1" sqref="K4:K232" xr:uid="{00000000-0002-0000-0000-00000B000000}">
      <formula1>$AK$4:$AK$18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M48"/>
  <sheetViews>
    <sheetView topLeftCell="A13" zoomScale="70" zoomScaleNormal="70" workbookViewId="0">
      <pane xSplit="3" topLeftCell="U1" activePane="topRight" state="frozen"/>
      <selection pane="topRight" activeCell="C41" sqref="C41"/>
    </sheetView>
  </sheetViews>
  <sheetFormatPr defaultColWidth="10.54296875" defaultRowHeight="19.8" x14ac:dyDescent="0.5"/>
  <cols>
    <col min="1" max="1" width="3.54296875" customWidth="1"/>
    <col min="2" max="2" width="2.453125" customWidth="1"/>
    <col min="3" max="3" width="16.54296875" bestFit="1" customWidth="1"/>
    <col min="4" max="5" width="9.54296875" customWidth="1"/>
    <col min="6" max="6" width="11.453125" customWidth="1"/>
    <col min="7" max="23" width="9.54296875" customWidth="1"/>
    <col min="24" max="24" width="11.453125" bestFit="1" customWidth="1"/>
    <col min="25" max="39" width="9.54296875" customWidth="1"/>
  </cols>
  <sheetData>
    <row r="1" spans="2:29" ht="20.399999999999999" thickBot="1" x14ac:dyDescent="0.55000000000000004"/>
    <row r="2" spans="2:29" ht="20.399999999999999" thickBot="1" x14ac:dyDescent="0.55000000000000004">
      <c r="D2" s="75" t="s">
        <v>128</v>
      </c>
      <c r="E2" s="76"/>
      <c r="F2" s="75" t="s">
        <v>226</v>
      </c>
      <c r="G2" s="76"/>
      <c r="H2" s="75" t="s">
        <v>227</v>
      </c>
      <c r="I2" s="76"/>
      <c r="J2" s="75" t="s">
        <v>228</v>
      </c>
      <c r="K2" s="76"/>
    </row>
    <row r="3" spans="2:29" ht="57" customHeight="1" thickBot="1" x14ac:dyDescent="0.55000000000000004">
      <c r="D3" s="20">
        <f>H3-F3</f>
        <v>-4</v>
      </c>
      <c r="E3" s="18" t="s">
        <v>127</v>
      </c>
      <c r="F3" s="19">
        <f>P10</f>
        <v>54</v>
      </c>
      <c r="G3" s="18" t="s">
        <v>127</v>
      </c>
      <c r="H3" s="21">
        <v>50</v>
      </c>
      <c r="I3" s="18" t="s">
        <v>127</v>
      </c>
      <c r="J3" s="19">
        <v>65</v>
      </c>
      <c r="K3" s="18" t="s">
        <v>127</v>
      </c>
    </row>
    <row r="6" spans="2:29" x14ac:dyDescent="0.5">
      <c r="B6" s="4" t="s">
        <v>225</v>
      </c>
      <c r="C6" s="4"/>
    </row>
    <row r="7" spans="2:29" x14ac:dyDescent="0.5">
      <c r="D7" s="74" t="s">
        <v>27</v>
      </c>
      <c r="E7" s="74"/>
      <c r="F7" s="74"/>
      <c r="G7" s="74"/>
      <c r="H7" s="74"/>
      <c r="I7" s="74"/>
      <c r="J7" s="74"/>
      <c r="K7" s="74"/>
      <c r="L7" s="74"/>
      <c r="M7" s="74"/>
      <c r="N7" s="74"/>
      <c r="O7" s="74"/>
      <c r="P7" s="74"/>
      <c r="Q7" s="74" t="s">
        <v>46</v>
      </c>
      <c r="R7" s="74"/>
      <c r="S7" s="74"/>
      <c r="T7" s="74"/>
      <c r="U7" s="74"/>
      <c r="V7" s="74"/>
      <c r="W7" s="74"/>
      <c r="X7" s="74"/>
      <c r="Y7" s="74"/>
      <c r="Z7" s="74"/>
      <c r="AA7" s="74"/>
      <c r="AB7" s="74"/>
      <c r="AC7" s="74"/>
    </row>
    <row r="8" spans="2:29" x14ac:dyDescent="0.5">
      <c r="D8" s="7" t="s">
        <v>9</v>
      </c>
      <c r="E8" s="7" t="s">
        <v>10</v>
      </c>
      <c r="F8" s="7" t="s">
        <v>11</v>
      </c>
      <c r="G8" s="7" t="s">
        <v>13</v>
      </c>
      <c r="H8" s="7" t="s">
        <v>14</v>
      </c>
      <c r="I8" s="7" t="s">
        <v>15</v>
      </c>
      <c r="J8" s="7" t="s">
        <v>16</v>
      </c>
      <c r="K8" s="7" t="s">
        <v>17</v>
      </c>
      <c r="L8" s="7" t="s">
        <v>18</v>
      </c>
      <c r="M8" s="7" t="s">
        <v>19</v>
      </c>
      <c r="N8" s="7" t="s">
        <v>20</v>
      </c>
      <c r="O8" s="7" t="s">
        <v>21</v>
      </c>
      <c r="P8" s="7" t="s">
        <v>22</v>
      </c>
      <c r="Q8" s="7" t="s">
        <v>9</v>
      </c>
      <c r="R8" s="7" t="s">
        <v>10</v>
      </c>
      <c r="S8" s="7" t="s">
        <v>11</v>
      </c>
      <c r="T8" s="7" t="s">
        <v>13</v>
      </c>
      <c r="U8" s="7" t="s">
        <v>14</v>
      </c>
      <c r="V8" s="7" t="s">
        <v>15</v>
      </c>
      <c r="W8" s="7" t="s">
        <v>16</v>
      </c>
      <c r="X8" s="7" t="s">
        <v>17</v>
      </c>
      <c r="Y8" s="7" t="s">
        <v>18</v>
      </c>
      <c r="Z8" s="7" t="s">
        <v>19</v>
      </c>
      <c r="AA8" s="7" t="s">
        <v>20</v>
      </c>
      <c r="AB8" s="7" t="s">
        <v>21</v>
      </c>
      <c r="AC8" s="7" t="s">
        <v>22</v>
      </c>
    </row>
    <row r="9" spans="2:29" x14ac:dyDescent="0.5">
      <c r="B9" t="s">
        <v>30</v>
      </c>
      <c r="D9" s="12">
        <v>1</v>
      </c>
      <c r="E9" s="12">
        <v>1</v>
      </c>
      <c r="F9" s="12">
        <v>8</v>
      </c>
      <c r="G9" s="12">
        <v>8</v>
      </c>
      <c r="H9" s="12">
        <v>4</v>
      </c>
      <c r="I9" s="12">
        <v>5</v>
      </c>
      <c r="J9" s="12">
        <v>8</v>
      </c>
      <c r="K9" s="12">
        <v>6</v>
      </c>
      <c r="L9" s="12">
        <v>6</v>
      </c>
      <c r="M9" s="12">
        <v>1</v>
      </c>
      <c r="N9" s="12">
        <v>1</v>
      </c>
      <c r="O9" s="12">
        <v>1</v>
      </c>
      <c r="P9" s="6">
        <f t="shared" ref="P9:P14" si="0">SUM(D9:O9)</f>
        <v>50</v>
      </c>
      <c r="Q9" s="16" t="s">
        <v>51</v>
      </c>
      <c r="R9" s="16" t="s">
        <v>51</v>
      </c>
      <c r="S9" s="16" t="s">
        <v>51</v>
      </c>
      <c r="T9" s="16" t="s">
        <v>51</v>
      </c>
      <c r="U9" s="16" t="s">
        <v>51</v>
      </c>
      <c r="V9" s="16" t="s">
        <v>51</v>
      </c>
      <c r="W9" s="16" t="s">
        <v>51</v>
      </c>
      <c r="X9" s="16" t="s">
        <v>51</v>
      </c>
      <c r="Y9" s="16" t="s">
        <v>51</v>
      </c>
      <c r="Z9" s="16" t="s">
        <v>51</v>
      </c>
      <c r="AA9" s="16" t="s">
        <v>51</v>
      </c>
      <c r="AB9" s="16" t="s">
        <v>51</v>
      </c>
      <c r="AC9" s="16" t="s">
        <v>51</v>
      </c>
    </row>
    <row r="10" spans="2:29" ht="40.200000000000003" customHeight="1" x14ac:dyDescent="0.5">
      <c r="B10" t="s">
        <v>31</v>
      </c>
      <c r="D10" s="22">
        <f>D11+D12+D13+D14</f>
        <v>1</v>
      </c>
      <c r="E10" s="22">
        <f t="shared" ref="E10:O10" si="1">E11+E12+E13+E14</f>
        <v>1</v>
      </c>
      <c r="F10" s="22">
        <f>F11+F12+F13+F14</f>
        <v>5</v>
      </c>
      <c r="G10" s="22">
        <f t="shared" si="1"/>
        <v>7</v>
      </c>
      <c r="H10" s="22">
        <f t="shared" si="1"/>
        <v>7</v>
      </c>
      <c r="I10" s="22">
        <f t="shared" si="1"/>
        <v>7</v>
      </c>
      <c r="J10" s="22">
        <f t="shared" si="1"/>
        <v>10</v>
      </c>
      <c r="K10" s="22">
        <f t="shared" si="1"/>
        <v>12</v>
      </c>
      <c r="L10" s="22">
        <f t="shared" si="1"/>
        <v>3</v>
      </c>
      <c r="M10" s="22">
        <f t="shared" si="1"/>
        <v>1</v>
      </c>
      <c r="N10" s="22">
        <f t="shared" si="1"/>
        <v>0</v>
      </c>
      <c r="O10" s="22">
        <f t="shared" si="1"/>
        <v>0</v>
      </c>
      <c r="P10" s="22">
        <f>SUM(D10:O10)</f>
        <v>54</v>
      </c>
      <c r="Q10" s="22">
        <f>Q11+Q12+Q13</f>
        <v>0</v>
      </c>
      <c r="R10" s="22">
        <f t="shared" ref="R10:AB10" si="2">R11+R12+R13</f>
        <v>2</v>
      </c>
      <c r="S10" s="22">
        <f t="shared" si="2"/>
        <v>7</v>
      </c>
      <c r="T10" s="22">
        <f t="shared" si="2"/>
        <v>5</v>
      </c>
      <c r="U10" s="22">
        <f t="shared" si="2"/>
        <v>4</v>
      </c>
      <c r="V10" s="22">
        <f t="shared" si="2"/>
        <v>4</v>
      </c>
      <c r="W10" s="22">
        <f t="shared" si="2"/>
        <v>6</v>
      </c>
      <c r="X10" s="22">
        <f t="shared" si="2"/>
        <v>4</v>
      </c>
      <c r="Y10" s="22">
        <f t="shared" si="2"/>
        <v>1</v>
      </c>
      <c r="Z10" s="22">
        <f t="shared" si="2"/>
        <v>0</v>
      </c>
      <c r="AA10" s="22">
        <f t="shared" si="2"/>
        <v>0</v>
      </c>
      <c r="AB10" s="22">
        <f t="shared" si="2"/>
        <v>0</v>
      </c>
      <c r="AC10" s="22">
        <f>SUM(Q10:AB10)</f>
        <v>33</v>
      </c>
    </row>
    <row r="11" spans="2:29" x14ac:dyDescent="0.5">
      <c r="C11" t="s">
        <v>91</v>
      </c>
      <c r="D11" s="6">
        <f>COUNTIFS(顧客データ!$K4:$K1048576,"=2022年3月",顧客データ!$S4:$S1048576,"=ラヴィーニュ",顧客データ!$D4:$D1048576,"=*成約*")</f>
        <v>1</v>
      </c>
      <c r="E11" s="6">
        <f>COUNTIFS(顧客データ!$K4:$K1048576,"=2022年4月",顧客データ!$S4:$S1048576,"=ラヴィーニュ",顧客データ!$D4:$D1048576,"=*成約*")</f>
        <v>0</v>
      </c>
      <c r="F11" s="6">
        <f>COUNTIFS(顧客データ!$K4:$K1048576,"=2022年5月",顧客データ!$S4:$S1048576,"=ラヴィーニュ",顧客データ!$D4:$D1048576,"=*成約*")</f>
        <v>2</v>
      </c>
      <c r="G11" s="6">
        <f>COUNTIFS(顧客データ!$K4:$K1048576,"=2022年6月",顧客データ!$S4:$S1048576,"=ラヴィーニュ",顧客データ!$D4:$D1048576,"=*成約*")</f>
        <v>1</v>
      </c>
      <c r="H11" s="6">
        <f>COUNTIFS(顧客データ!$K4:$K1048576,"=2022年7月",顧客データ!$S4:$S1048576,"=ラヴィーニュ",顧客データ!$D4:$D1048576,"=*成約*")</f>
        <v>4</v>
      </c>
      <c r="I11" s="6">
        <f>COUNTIFS(顧客データ!$K4:$K1048576,"=2022年8月",顧客データ!$S4:$S1048576,"=ラヴィーニュ",顧客データ!$D4:$D1048576,"=*成約*")</f>
        <v>4</v>
      </c>
      <c r="J11" s="6">
        <f>COUNTIFS(顧客データ!$K4:$K1048576,"=2022年9月",顧客データ!$S4:$S1048576,"=ラヴィーニュ",顧客データ!$D4:$D1048576,"=*成約*")</f>
        <v>0</v>
      </c>
      <c r="K11" s="6">
        <f>COUNTIFS(顧客データ!$K4:$K1048576,"=2022年10月",顧客データ!$S4:$S1048576,"=ラヴィーニュ",顧客データ!$D4:$D1048576,"=*成約*")</f>
        <v>0</v>
      </c>
      <c r="L11" s="6">
        <f>COUNTIFS(顧客データ!$K4:$K1048576,"=2022年11月",顧客データ!$S4:$S1048576,"=ラヴィーニュ",顧客データ!$D4:$D1048576,"=*成約*")</f>
        <v>1</v>
      </c>
      <c r="M11" s="6">
        <f>COUNTIFS(顧客データ!$K4:$K1048576,"=2022年12月",顧客データ!$S4:$S1048576,"=ラヴィーニュ",顧客データ!$D4:$D1048576,"=*成約*")</f>
        <v>0</v>
      </c>
      <c r="N11" s="6">
        <f>COUNTIFS(顧客データ!$K4:$K1048576,"=2023年1月",顧客データ!$S4:$S1048576,"=ラヴィーニュ",顧客データ!$D4:$D1048576,"=*成約*")</f>
        <v>0</v>
      </c>
      <c r="O11" s="6">
        <f>COUNTIFS(顧客データ!$K4:$K1048576,"=2023年2月",顧客データ!$S4:$S1048576,"=ラヴィーニュ",顧客データ!$D4:$D1048576,"=*成約*")</f>
        <v>0</v>
      </c>
      <c r="P11" s="6">
        <f>SUM(D11:O11)</f>
        <v>13</v>
      </c>
      <c r="Q11" s="6">
        <f>COUNTIFS(顧客データ!$K4:$K1048576,"=2023年3月",顧客データ!$S4:$S1048576,"=ラヴィーニュ",顧客データ!$D4:$D1048576,"=*成約*")</f>
        <v>0</v>
      </c>
      <c r="R11" s="6">
        <f>COUNTIFS(顧客データ!$K4:$K1048576,"=2023年4月",顧客データ!$S4:$S1048576,"=ラヴィーニュ",顧客データ!$D4:$D1048576,"=*成約*")</f>
        <v>1</v>
      </c>
      <c r="S11" s="6">
        <f>COUNTIFS(顧客データ!$K4:$K1048576,"=2023年5月",顧客データ!$S4:$S1048576,"=ラヴィーニュ",顧客データ!$D4:$D1048576,"=*成約*")</f>
        <v>0</v>
      </c>
      <c r="T11" s="6">
        <f>COUNTIFS(顧客データ!$K4:$K1048576,"=2023年6月",顧客データ!$S4:$S1048576,"=ラヴィーニュ",顧客データ!$D4:$D1048576,"=*成約*")</f>
        <v>0</v>
      </c>
      <c r="U11" s="6">
        <f>COUNTIFS(顧客データ!$K4:$K1048576,"=2023年7月",顧客データ!$S4:$S1048576,"=ラヴィーニュ",顧客データ!$D4:$D1048576,"=*成約*")</f>
        <v>1</v>
      </c>
      <c r="V11" s="6">
        <f>COUNTIFS(顧客データ!$K4:$K1048576,"=2023年8月",顧客データ!$S4:$S1048576,"=ラヴィーニュ",顧客データ!$D4:$D1048576,"=*成約*")</f>
        <v>1</v>
      </c>
      <c r="W11" s="6">
        <f>COUNTIFS(顧客データ!$K4:$K1048576,"=2023年9月",顧客データ!$S4:$S1048576,"=ラヴィーニュ",顧客データ!$D4:$D1048576,"=*成約*")</f>
        <v>0</v>
      </c>
      <c r="X11" s="6">
        <f>COUNTIFS(顧客データ!$K4:$K1048576,"=2023年10月",顧客データ!$S4:$S1048576,"=ラヴィーニュ",顧客データ!$D4:$D1048576,"=*成約*")</f>
        <v>1</v>
      </c>
      <c r="Y11" s="6">
        <f>COUNTIFS(顧客データ!$K4:$K1048576,"=2023年11月",顧客データ!$S4:$S1048576,"=ラヴィーニュ",顧客データ!$D4:$D1048576,"=*成約*")</f>
        <v>1</v>
      </c>
      <c r="Z11" s="6">
        <f>COUNTIFS(顧客データ!$K4:$K1048576,"=2023年12月",顧客データ!$S4:$S1048576,"=ラヴィーニュ",顧客データ!$D4:$D1048576,"=*成約*")</f>
        <v>0</v>
      </c>
      <c r="AA11" s="6">
        <f>COUNTIFS(顧客データ!$K4:$K1048576,"=2024年1月",顧客データ!$S4:$S1048576,"=ラヴィーニュ",顧客データ!$D4:$D1048576,"=*成約*")</f>
        <v>0</v>
      </c>
      <c r="AB11" s="6">
        <f>COUNTIFS(顧客データ!$K4:$K1048576,"=2024年2月",顧客データ!$S4:$S1048576,"=ラヴィーニュ",顧客データ!$D4:$D1048576,"=*成約*")</f>
        <v>0</v>
      </c>
      <c r="AC11" s="6">
        <f>SUM(Q11:AB11)</f>
        <v>5</v>
      </c>
    </row>
    <row r="12" spans="2:29" x14ac:dyDescent="0.5">
      <c r="C12" t="s">
        <v>42</v>
      </c>
      <c r="D12" s="6">
        <f>COUNTIFS(顧客データ!$K4:$K1048576,"=2022年3月",顧客データ!$S4:$S1048576,"=ルバンケ",顧客データ!$D4:$D1048576,"=*成約*")</f>
        <v>0</v>
      </c>
      <c r="E12" s="6">
        <f>COUNTIFS(顧客データ!$K4:$K1048576,"=2022年4月",顧客データ!$S4:$S1048576,"=ルバンケ",顧客データ!$D4:$D1048576,"=*成約*")</f>
        <v>1</v>
      </c>
      <c r="F12" s="6">
        <f>COUNTIFS(顧客データ!$K4:$K1048576,"=2022年5月",顧客データ!$S4:$S1048576,"=ルバンケ",顧客データ!$D4:$D1048576,"=*成約*")</f>
        <v>2</v>
      </c>
      <c r="G12" s="6">
        <f>COUNTIFS(顧客データ!$K4:$K1048576,"=2022年6月",顧客データ!$S4:$S1048576,"=ルバンケ",顧客データ!$D4:$D1048576,"=*成約*")</f>
        <v>6</v>
      </c>
      <c r="H12" s="6">
        <f>COUNTIFS(顧客データ!$K4:$K1048576,"=2022年7月",顧客データ!$S4:$S1048576,"=ルバンケ",顧客データ!$D4:$D1048576,"=*成約*")</f>
        <v>2</v>
      </c>
      <c r="I12" s="6">
        <f>COUNTIFS(顧客データ!$K4:$K1048576,"=2022年8月",顧客データ!$S4:$S1048576,"=ルバンケ",顧客データ!$D4:$D1048576,"=*成約*")</f>
        <v>1</v>
      </c>
      <c r="J12" s="6">
        <f>COUNTIFS(顧客データ!$K4:$K1048576,"=2022年9月",顧客データ!$S4:$S1048576,"=ルバンケ",顧客データ!$D4:$D1048576,"=*成約*")</f>
        <v>9</v>
      </c>
      <c r="K12" s="6">
        <f>COUNTIFS(顧客データ!$K4:$K1048576,"=2022年10月",顧客データ!$S4:$S1048576,"=ルバンケ",顧客データ!$D4:$D1048576,"=*成約*")</f>
        <v>11</v>
      </c>
      <c r="L12" s="6">
        <f>COUNTIFS(顧客データ!$K4:$K1048576,"=2022年11月",顧客データ!$S4:$S1048576,"=ルバンケ",顧客データ!$D4:$D1048576,"=*成約*")</f>
        <v>1</v>
      </c>
      <c r="M12" s="6">
        <f>COUNTIFS(顧客データ!$K4:$K1048576,"=2022年12月",顧客データ!$S4:$S1048576,"=ルバンケ",顧客データ!$D4:$D1048576,"=*成約*")</f>
        <v>1</v>
      </c>
      <c r="N12" s="6">
        <f>COUNTIFS(顧客データ!$K4:$K1048576,"=2023年1月",顧客データ!$S4:$S1048576,"=ルバンケ",顧客データ!$D4:$D1048576,"=*成約*")</f>
        <v>0</v>
      </c>
      <c r="O12" s="6">
        <f>COUNTIFS(顧客データ!$K4:$K1048576,"=2023年2月",顧客データ!$S4:$S1048576,"=ルバンケ",顧客データ!$D4:$D1048576,"=*成約*")</f>
        <v>0</v>
      </c>
      <c r="P12" s="6">
        <f t="shared" si="0"/>
        <v>34</v>
      </c>
      <c r="Q12" s="6">
        <f>COUNTIFS(顧客データ!$K4:$K1048576,"=2023年3月",顧客データ!$S4:$S1048576,"=ルバンケ",顧客データ!$D4:$D1048576,"=*成約*")</f>
        <v>0</v>
      </c>
      <c r="R12" s="6">
        <f>COUNTIFS(顧客データ!$K4:$K1048576,"=2023年4月",顧客データ!$S4:$S1048576,"=ルバンケ",顧客データ!$D4:$D1048576,"=*成約*")</f>
        <v>1</v>
      </c>
      <c r="S12" s="6">
        <f>COUNTIFS(顧客データ!$K4:$K1048576,"=2023年5月",顧客データ!$S4:$S1048576,"=ルバンケ",顧客データ!$D4:$D1048576,"=*成約*")</f>
        <v>5</v>
      </c>
      <c r="T12" s="6">
        <f>COUNTIFS(顧客データ!$K4:$K1048576,"=2023年6月",顧客データ!$S4:$S1048576,"=ルバンケ",顧客データ!$D4:$D1048576,"=*成約*")</f>
        <v>5</v>
      </c>
      <c r="U12" s="6">
        <f>COUNTIFS(顧客データ!$K4:$K1048576,"=2023年7月",顧客データ!$S4:$S1048576,"=ルバンケ",顧客データ!$D4:$D1048576,"=*成約*")</f>
        <v>1</v>
      </c>
      <c r="V12" s="6">
        <f>COUNTIFS(顧客データ!$K4:$K1048576,"=2023年8月",顧客データ!$S4:$S1048576,"=ルバンケ",顧客データ!$D4:$D1048576,"=*成約*")</f>
        <v>3</v>
      </c>
      <c r="W12" s="6">
        <f>COUNTIFS(顧客データ!$K4:$K1048576,"=2023年9月",顧客データ!$S4:$S1048576,"=ルバンケ",顧客データ!$D4:$D1048576,"=*成約*")</f>
        <v>6</v>
      </c>
      <c r="X12" s="6">
        <f>COUNTIFS(顧客データ!$K4:$K1048576,"=2023年10月",顧客データ!$S4:$S1048576,"=ルバンケ",顧客データ!$D4:$D1048576,"=*成約*")</f>
        <v>3</v>
      </c>
      <c r="Y12" s="6">
        <f>COUNTIFS(顧客データ!$K4:$K1048576,"=2023年11月",顧客データ!$S4:$S1048576,"=ルバンケ",顧客データ!$D4:$D1048576,"=*成約*")</f>
        <v>0</v>
      </c>
      <c r="Z12" s="6">
        <f>COUNTIFS(顧客データ!$K4:$K1048576,"=2023年12月",顧客データ!$S4:$S1048576,"=ルバンケ",顧客データ!$D4:$D1048576,"=*成約*")</f>
        <v>0</v>
      </c>
      <c r="AA12" s="6">
        <f>COUNTIFS(顧客データ!$K4:$K1048576,"=2024年1月",顧客データ!$S4:$S1048576,"=ルバンケ",顧客データ!$D4:$D1048576,"=*成約*")</f>
        <v>0</v>
      </c>
      <c r="AB12" s="6">
        <f>COUNTIFS(顧客データ!$K4:$K1048576,"=2024年2月",顧客データ!$S4:$S1048576,"=ルバンケ",顧客データ!$D4:$D1048576,"=*成約*")</f>
        <v>0</v>
      </c>
      <c r="AC12" s="6">
        <f>SUM(Q12:AB12)</f>
        <v>24</v>
      </c>
    </row>
    <row r="13" spans="2:29" x14ac:dyDescent="0.5">
      <c r="C13" t="s">
        <v>151</v>
      </c>
      <c r="D13" s="6">
        <f>COUNTIFS(顧客データ!$K4:$K1048576,"=2022年3月",顧客データ!$S4:$S1048576,"=式のみ",顧客データ!$D4:$D1048576,"=*成約*")+COUNTIFS(顧客データ!$K4:$K1048576,"=2022年3月",顧客データ!$S4:$S1048576,"=フォトのみ",顧客データ!$D4:$D1048576,"=*成約*")</f>
        <v>0</v>
      </c>
      <c r="E13" s="6">
        <f>COUNTIFS(顧客データ!$K4:$K1048576,"=2022年4月",顧客データ!$S4:$S1048576,"=式のみ",顧客データ!$D4:$D1048576,"=*成約*")+COUNTIFS(顧客データ!$K4:$K1048576,"=2022年4月",顧客データ!$S4:$S1048576,"=フォトのみ",顧客データ!$D4:$D1048576,"=*成約*")</f>
        <v>0</v>
      </c>
      <c r="F13" s="6">
        <f>COUNTIFS(顧客データ!$K4:$K1048576,"=2022年5月",顧客データ!$S4:$S1048576,"=式のみ",顧客データ!$D4:$D1048576,"=*成約*")+COUNTIFS(顧客データ!$K4:$K1048576,"=2022年5月",顧客データ!$S4:$S1048576,"=フォトのみ",顧客データ!$D4:$D1048576,"=*成約*")</f>
        <v>1</v>
      </c>
      <c r="G13" s="6">
        <f>COUNTIFS(顧客データ!$K4:$K1048576,"=2022年6月",顧客データ!$S4:$S1048576,"=式のみ",顧客データ!$D4:$D1048576,"=*成約*")+COUNTIFS(顧客データ!$K4:$K1048576,"=2022年6月",顧客データ!$S4:$S1048576,"=フォトのみ",顧客データ!$D4:$D1048576,"=*成約*")</f>
        <v>0</v>
      </c>
      <c r="H13" s="6">
        <f>COUNTIFS(顧客データ!$K4:$K1048576,"=2022年7月",顧客データ!$S4:$S1048576,"=式のみ",顧客データ!$D4:$D1048576,"=*成約*")+COUNTIFS(顧客データ!$K4:$K1048576,"=2022年7月",顧客データ!$S4:$S1048576,"=フォトのみ",顧客データ!$D4:$D1048576,"=*成約*")</f>
        <v>0</v>
      </c>
      <c r="I13" s="6">
        <f>COUNTIFS(顧客データ!$K4:$K1048576,"=2022年8月",顧客データ!$S4:$S1048576,"=式のみ",顧客データ!$D4:$D1048576,"=*成約*")+COUNTIFS(顧客データ!$K4:$K1048576,"=2022年8月",顧客データ!$S4:$S1048576,"=フォトのみ",顧客データ!$D4:$D1048576,"=*成約*")</f>
        <v>1</v>
      </c>
      <c r="J13" s="6">
        <f>COUNTIFS(顧客データ!$K4:$K1048576,"=2022年9月",顧客データ!$S4:$S1048576,"=式のみ",顧客データ!$D4:$D1048576,"=*成約*")+COUNTIFS(顧客データ!$K4:$K1048576,"=2022年9月",顧客データ!$S4:$S1048576,"=フォトのみ",顧客データ!$D4:$D1048576,"=*成約*")</f>
        <v>1</v>
      </c>
      <c r="K13" s="6">
        <f>COUNTIFS(顧客データ!$K4:$K1048576,"=2022年10月",顧客データ!$S4:$S1048576,"=式のみ",顧客データ!$D4:$D1048576,"=*成約*")+COUNTIFS(顧客データ!$K4:$K1048576,"=2022年10月",顧客データ!$S4:$S1048576,"=フォトのみ",顧客データ!$D4:$D1048576,"=*成約*")</f>
        <v>1</v>
      </c>
      <c r="L13" s="6">
        <f>COUNTIFS(顧客データ!$K4:$K1048576,"=2022年11月",顧客データ!$S4:$S1048576,"=式のみ",顧客データ!$D4:$D1048576,"=*成約*")+COUNTIFS(顧客データ!$K4:$K1048576,"=2022年11月",顧客データ!$S4:$S1048576,"=フォトのみ",顧客データ!$D4:$D1048576,"=*成約*")</f>
        <v>1</v>
      </c>
      <c r="M13" s="6">
        <f>COUNTIFS(顧客データ!$K4:$K1048576,"=2022年12月",顧客データ!$S4:$S1048576,"=式のみ",顧客データ!$D4:$D1048576,"=*成約*")+COUNTIFS(顧客データ!$K4:$K1048576,"=2022年12月",顧客データ!$S4:$S1048576,"=フォトのみ",顧客データ!$D4:$D1048576,"=*成約*")</f>
        <v>0</v>
      </c>
      <c r="N13" s="6">
        <f>COUNTIFS(顧客データ!$K4:$K1048576,"=2023年1月",顧客データ!$S4:$S1048576,"=式のみ",顧客データ!$D4:$D1048576,"=*成約*")+COUNTIFS(顧客データ!$K4:$K1048576,"=2023年1月",顧客データ!$S4:$S1048576,"=フォトのみ",顧客データ!$D4:$D1048576,"=*成約*")</f>
        <v>0</v>
      </c>
      <c r="O13" s="6">
        <f>COUNTIFS(顧客データ!$K4:$K1048576,"=2023年2月",顧客データ!$S4:$S1048576,"=式のみ",顧客データ!$D4:$D1048576,"=*成約*")+COUNTIFS(顧客データ!$K4:$K1048576,"=2023年2月",顧客データ!$S4:$S1048576,"=フォトのみ",顧客データ!$D4:$D1048576,"=*成約*")</f>
        <v>0</v>
      </c>
      <c r="P13" s="6">
        <f t="shared" si="0"/>
        <v>5</v>
      </c>
      <c r="Q13" s="6">
        <f>COUNTIFS(顧客データ!$K4:$K1048576,"=2023年3月",顧客データ!$S4:$S1048576,"=式のみ",顧客データ!$D4:$D1048576,"=*成約*")+COUNTIFS(顧客データ!$K4:$K1048576,"=2023年3月",顧客データ!$S4:$S1048576,"=フォトのみ",顧客データ!$D4:$D1048576,"=*成約*")</f>
        <v>0</v>
      </c>
      <c r="R13" s="6">
        <f>COUNTIFS(顧客データ!$K4:$K1048576,"=2023年4月",顧客データ!$S4:$S1048576,"=式のみ",顧客データ!$D4:$D1048576,"=*成約*")+COUNTIFS(顧客データ!$K4:$K1048576,"=2023年4月",顧客データ!$S4:$S1048576,"=フォトのみ",顧客データ!$D4:$D1048576,"=*成約*")</f>
        <v>0</v>
      </c>
      <c r="S13" s="6">
        <f>COUNTIFS(顧客データ!$K4:$K1048576,"=2023年5月",顧客データ!$S4:$S1048576,"=式のみ",顧客データ!$D4:$D1048576,"=*成約*")+COUNTIFS(顧客データ!$K4:$K1048576,"=2023年5月",顧客データ!$S4:$S1048576,"=フォトのみ",顧客データ!$D4:$D1048576,"=*成約*")</f>
        <v>2</v>
      </c>
      <c r="T13" s="6">
        <f>COUNTIFS(顧客データ!$K4:$K1048576,"=2023年6月",顧客データ!$S4:$S1048576,"=式のみ",顧客データ!$D4:$D1048576,"=*成約*")+COUNTIFS(顧客データ!$K4:$K1048576,"=2023年6月",顧客データ!$S4:$S1048576,"=フォトのみ",顧客データ!$D4:$D1048576,"=*成約*")</f>
        <v>0</v>
      </c>
      <c r="U13" s="6">
        <f>COUNTIFS(顧客データ!$K4:$K1048576,"=2023年7月",顧客データ!$S4:$S1048576,"=式のみ",顧客データ!$D4:$D1048576,"=*成約*")+COUNTIFS(顧客データ!$K4:$K1048576,"=2023年7月",顧客データ!$S4:$S1048576,"=フォトのみ",顧客データ!$D4:$D1048576,"=*成約*")</f>
        <v>2</v>
      </c>
      <c r="V13" s="6">
        <f>COUNTIFS(顧客データ!$K4:$K1048576,"=2023年8月",顧客データ!$S4:$S1048576,"=式のみ",顧客データ!$D4:$D1048576,"=*成約*")+COUNTIFS(顧客データ!$K4:$K1048576,"=2023年8月",顧客データ!$S4:$S1048576,"=フォトのみ",顧客データ!$D4:$D1048576,"=*成約*")</f>
        <v>0</v>
      </c>
      <c r="W13" s="6">
        <f>COUNTIFS(顧客データ!$K4:$K1048576,"=2023年9月",顧客データ!$S4:$S1048576,"=式のみ",顧客データ!$D4:$D1048576,"=*成約*")+COUNTIFS(顧客データ!$K4:$K1048576,"=2023年9月",顧客データ!$S4:$S1048576,"=フォトのみ",顧客データ!$D4:$D1048576,"=*成約*")</f>
        <v>0</v>
      </c>
      <c r="X13" s="6">
        <f>COUNTIFS(顧客データ!$K4:$K1048576,"=2023年10月",顧客データ!$S4:$S1048576,"=式のみ",顧客データ!$D4:$D1048576,"=*成約*")+COUNTIFS(顧客データ!$K4:$K1048576,"=2023年10月",顧客データ!$S4:$S1048576,"=フォトのみ",顧客データ!$D4:$D1048576,"=*成約*")</f>
        <v>0</v>
      </c>
      <c r="Y13" s="6">
        <f>COUNTIFS(顧客データ!$K4:$K1048576,"=2023年11月",顧客データ!$S4:$S1048576,"=式のみ",顧客データ!$D4:$D1048576,"=*成約*")+COUNTIFS(顧客データ!$K4:$K1048576,"=2023年11月",顧客データ!$S4:$S1048576,"=フォトのみ",顧客データ!$D4:$D1048576,"=*成約*")</f>
        <v>0</v>
      </c>
      <c r="Z13" s="6">
        <f>COUNTIFS(顧客データ!$K4:$K1048576,"=2023年12月",顧客データ!$S4:$S1048576,"=式のみ",顧客データ!$D4:$D1048576,"=*成約*")+COUNTIFS(顧客データ!$K4:$K1048576,"=2023年12月",顧客データ!$S4:$S1048576,"=フォトのみ",顧客データ!$D4:$D1048576,"=*成約*")</f>
        <v>0</v>
      </c>
      <c r="AA13" s="6">
        <f>COUNTIFS(顧客データ!$K4:$K1048576,"=2024年1月",顧客データ!$S4:$S1048576,"=式のみ",顧客データ!$D4:$D1048576,"=*成約*")+COUNTIFS(顧客データ!$K4:$K1048576,"=2024年1月",顧客データ!$S4:$S1048576,"=フォトのみ",顧客データ!$D4:$D1048576,"=*成約*")</f>
        <v>0</v>
      </c>
      <c r="AB13" s="6">
        <f>COUNTIFS(顧客データ!$K4:$K1048576,"=2024年2月",顧客データ!$S4:$S1048576,"=式のみ",顧客データ!$D4:$D1048576,"=*成約*")+COUNTIFS(顧客データ!$K4:$K1048576,"=2024年2月",顧客データ!$S4:$S1048576,"=フォトのみ",顧客データ!$D4:$D1048576,"=*成約*")</f>
        <v>0</v>
      </c>
      <c r="AC13" s="6">
        <f>SUM(Q13:AB13)</f>
        <v>4</v>
      </c>
    </row>
    <row r="14" spans="2:29" x14ac:dyDescent="0.5">
      <c r="C14" t="s">
        <v>152</v>
      </c>
      <c r="D14" s="6">
        <f>COUNTIFS(顧客データ!$K4:$K1048576,"=2022年3月",顧客データ!$S4:$S1048576,"=トネル",顧客データ!$D4:$D1048576,"=*成約*")</f>
        <v>0</v>
      </c>
      <c r="E14" s="6">
        <f>COUNTIFS(顧客データ!$K4:$K1048576,"=2022年4月",顧客データ!$S4:$S1048576,"=トネル",顧客データ!$D4:$D1048576,"=*成約*")</f>
        <v>0</v>
      </c>
      <c r="F14" s="6">
        <f>COUNTIFS(顧客データ!$K4:$K1048576,"=2022年5月",顧客データ!$S4:$S1048576,"=トネル",顧客データ!$D4:$D1048576,"=*成約*")</f>
        <v>0</v>
      </c>
      <c r="G14" s="6">
        <f>COUNTIFS(顧客データ!$K4:$K1048576,"=2022年6月",顧客データ!$S4:$S1048576,"=トネル",顧客データ!$D4:$D1048576,"=*成約*")</f>
        <v>0</v>
      </c>
      <c r="H14" s="6">
        <f>COUNTIFS(顧客データ!$K4:$K1048576,"=2022年7月",顧客データ!$S4:$S1048576,"=トネル",顧客データ!$D4:$D1048576,"=*成約*")</f>
        <v>1</v>
      </c>
      <c r="I14" s="6">
        <f>COUNTIFS(顧客データ!$K4:$K1048576,"=2022年8月",顧客データ!$S4:$S1048576,"=トネル",顧客データ!$D4:$D1048576,"=*成約*")</f>
        <v>1</v>
      </c>
      <c r="J14" s="6">
        <f>COUNTIFS(顧客データ!$K4:$K1048576,"=2022年9月",顧客データ!$S4:$S1048576,"=トネル",顧客データ!$D4:$D1048576,"=*成約*")</f>
        <v>0</v>
      </c>
      <c r="K14" s="6">
        <f>COUNTIFS(顧客データ!$K4:$K1048576,"=2022年10月",顧客データ!$S4:$S1048576,"=トネル",顧客データ!$D4:$D1048576,"=*成約*")</f>
        <v>0</v>
      </c>
      <c r="L14" s="6">
        <f>COUNTIFS(顧客データ!$K4:$K1048576,"=2022年11月",顧客データ!$S4:$S1048576,"=トネル",顧客データ!$D4:$D1048576,"=*成約*")</f>
        <v>0</v>
      </c>
      <c r="M14" s="6">
        <f>COUNTIFS(顧客データ!$K4:$K1048576,"=2022年12月",顧客データ!$S4:$S1048576,"=トネル",顧客データ!$D4:$D1048576,"=*成約*")</f>
        <v>0</v>
      </c>
      <c r="N14" s="6">
        <f>COUNTIFS(顧客データ!$K4:$K1048576,"=2023年1月",顧客データ!$S4:$S1048576,"=トネル",顧客データ!$D4:$D1048576,"=*成約*")</f>
        <v>0</v>
      </c>
      <c r="O14" s="6">
        <f>COUNTIFS(顧客データ!$K4:$K1048576,"=2023年2月",顧客データ!$S4:$S1048576,"=トネル",顧客データ!$D4:$D1048576,"=*成約*")</f>
        <v>0</v>
      </c>
      <c r="P14" s="6">
        <f t="shared" si="0"/>
        <v>2</v>
      </c>
      <c r="Q14" s="6">
        <f>COUNTIFS(顧客データ!$K4:$K1048576,"=2023年3月",顧客データ!$S4:$S1048576,"=トネル",顧客データ!$D4:$D1048576,"=*成約*")</f>
        <v>0</v>
      </c>
      <c r="R14" s="6">
        <f>COUNTIFS(顧客データ!$K4:$K1048576,"=2023年4月",顧客データ!$S4:$S1048576,"=トネル",顧客データ!$D4:$D1048576,"=*成約*")</f>
        <v>0</v>
      </c>
      <c r="S14" s="6">
        <f>COUNTIFS(顧客データ!$K4:$K1048576,"=2023年5月",顧客データ!$S4:$S1048576,"=トネル",顧客データ!$D4:$D1048576,"=*成約*")</f>
        <v>0</v>
      </c>
      <c r="T14" s="6">
        <f>COUNTIFS(顧客データ!$K4:$K1048576,"=2023年6月",顧客データ!$S4:$S1048576,"=トネル",顧客データ!$D4:$D1048576,"=*成約*")</f>
        <v>0</v>
      </c>
      <c r="U14" s="6">
        <f>COUNTIFS(顧客データ!$K4:$K1048576,"=2023年7月",顧客データ!$S4:$S1048576,"=トネル",顧客データ!$D4:$D1048576,"=*成約*")</f>
        <v>0</v>
      </c>
      <c r="V14" s="6">
        <f>COUNTIFS(顧客データ!$K4:$K1048576,"=2023年8月",顧客データ!$S4:$S1048576,"=トネル",顧客データ!$D4:$D1048576,"=*成約*")</f>
        <v>0</v>
      </c>
      <c r="W14" s="6">
        <f>COUNTIFS(顧客データ!$K4:$K1048576,"=2023年9月",顧客データ!$S4:$S1048576,"=トネル",顧客データ!$D4:$D1048576,"=*成約*")</f>
        <v>0</v>
      </c>
      <c r="X14" s="6">
        <f>COUNTIFS(顧客データ!$K4:$K1048576,"=2023年10月",顧客データ!$S4:$S1048576,"=トネル",顧客データ!$D4:$D1048576,"=*成約*")</f>
        <v>0</v>
      </c>
      <c r="Y14" s="6">
        <f>COUNTIFS(顧客データ!$K4:$K1048576,"=2023年11月",顧客データ!$S4:$S1048576,"=トネル",顧客データ!$D4:$D1048576,"=*成約*")</f>
        <v>0</v>
      </c>
      <c r="Z14" s="6">
        <f>COUNTIFS(顧客データ!$K4:$K1048576,"=2023年12月",顧客データ!$S4:$S1048576,"=トネル",顧客データ!$D4:$D1048576,"=*成約*")</f>
        <v>0</v>
      </c>
      <c r="AA14" s="6">
        <f>COUNTIFS(顧客データ!$K4:$K1048576,"=2024年1月",顧客データ!$S4:$S1048576,"=トネル",顧客データ!$D4:$D1048576,"=*成約*")</f>
        <v>0</v>
      </c>
      <c r="AB14" s="6">
        <f>COUNTIFS(顧客データ!$K4:$K1048576,"=2024年2月",顧客データ!$S4:$S1048576,"=トネル",顧客データ!$D4:$D1048576,"=*成約*")</f>
        <v>0</v>
      </c>
      <c r="AC14" s="6">
        <f>SUM(Q14:AB14)</f>
        <v>0</v>
      </c>
    </row>
    <row r="15" spans="2:29" x14ac:dyDescent="0.5">
      <c r="B15" t="s">
        <v>41</v>
      </c>
      <c r="D15" s="13">
        <f t="shared" ref="D15:P15" si="3">D10/D9</f>
        <v>1</v>
      </c>
      <c r="E15" s="13">
        <f t="shared" si="3"/>
        <v>1</v>
      </c>
      <c r="F15" s="13">
        <f t="shared" si="3"/>
        <v>0.625</v>
      </c>
      <c r="G15" s="13">
        <f t="shared" si="3"/>
        <v>0.875</v>
      </c>
      <c r="H15" s="13">
        <f t="shared" si="3"/>
        <v>1.75</v>
      </c>
      <c r="I15" s="13">
        <f t="shared" si="3"/>
        <v>1.4</v>
      </c>
      <c r="J15" s="13">
        <f t="shared" si="3"/>
        <v>1.25</v>
      </c>
      <c r="K15" s="13">
        <f t="shared" si="3"/>
        <v>2</v>
      </c>
      <c r="L15" s="13">
        <f t="shared" si="3"/>
        <v>0.5</v>
      </c>
      <c r="M15" s="13">
        <f t="shared" si="3"/>
        <v>1</v>
      </c>
      <c r="N15" s="13">
        <f t="shared" si="3"/>
        <v>0</v>
      </c>
      <c r="O15" s="13">
        <f t="shared" si="3"/>
        <v>0</v>
      </c>
      <c r="P15" s="13">
        <f t="shared" si="3"/>
        <v>1.08</v>
      </c>
      <c r="Q15" s="16" t="s">
        <v>51</v>
      </c>
      <c r="R15" s="16" t="s">
        <v>51</v>
      </c>
      <c r="S15" s="16" t="s">
        <v>51</v>
      </c>
      <c r="T15" s="16" t="s">
        <v>51</v>
      </c>
      <c r="U15" s="16" t="s">
        <v>51</v>
      </c>
      <c r="V15" s="16" t="s">
        <v>51</v>
      </c>
      <c r="W15" s="16" t="s">
        <v>51</v>
      </c>
      <c r="X15" s="16" t="s">
        <v>51</v>
      </c>
      <c r="Y15" s="16" t="s">
        <v>51</v>
      </c>
      <c r="Z15" s="16" t="s">
        <v>51</v>
      </c>
      <c r="AA15" s="16" t="s">
        <v>51</v>
      </c>
      <c r="AB15" s="16" t="s">
        <v>51</v>
      </c>
      <c r="AC15" s="16" t="s">
        <v>51</v>
      </c>
    </row>
    <row r="16" spans="2:29" x14ac:dyDescent="0.5">
      <c r="B16" t="s">
        <v>43</v>
      </c>
      <c r="D16" s="13">
        <f t="shared" ref="D16:P16" si="4">D10/D17</f>
        <v>0.5</v>
      </c>
      <c r="E16" s="13">
        <f t="shared" si="4"/>
        <v>0.5</v>
      </c>
      <c r="F16" s="13">
        <f t="shared" si="4"/>
        <v>0.55555555555555558</v>
      </c>
      <c r="G16" s="13">
        <f t="shared" si="4"/>
        <v>1.1666666666666667</v>
      </c>
      <c r="H16" s="13">
        <f t="shared" si="4"/>
        <v>1</v>
      </c>
      <c r="I16" s="13">
        <f t="shared" si="4"/>
        <v>2.3333333333333335</v>
      </c>
      <c r="J16" s="13">
        <f t="shared" si="4"/>
        <v>0.90909090909090906</v>
      </c>
      <c r="K16" s="13">
        <f t="shared" si="4"/>
        <v>0.8571428571428571</v>
      </c>
      <c r="L16" s="13">
        <f t="shared" si="4"/>
        <v>0.375</v>
      </c>
      <c r="M16" s="13">
        <f t="shared" si="4"/>
        <v>0.5</v>
      </c>
      <c r="N16" s="13" t="e">
        <f t="shared" si="4"/>
        <v>#DIV/0!</v>
      </c>
      <c r="O16" s="13">
        <f t="shared" si="4"/>
        <v>0</v>
      </c>
      <c r="P16" s="13">
        <f t="shared" si="4"/>
        <v>0.83076923076923082</v>
      </c>
    </row>
    <row r="17" spans="2:39" x14ac:dyDescent="0.5">
      <c r="C17" t="s">
        <v>34</v>
      </c>
      <c r="D17" s="12">
        <v>2</v>
      </c>
      <c r="E17" s="12">
        <v>2</v>
      </c>
      <c r="F17" s="12">
        <v>9</v>
      </c>
      <c r="G17" s="12">
        <v>6</v>
      </c>
      <c r="H17" s="12">
        <v>7</v>
      </c>
      <c r="I17" s="12">
        <v>3</v>
      </c>
      <c r="J17" s="12">
        <v>11</v>
      </c>
      <c r="K17" s="12">
        <v>14</v>
      </c>
      <c r="L17" s="12">
        <v>8</v>
      </c>
      <c r="M17" s="12">
        <v>2</v>
      </c>
      <c r="N17" s="12">
        <v>0</v>
      </c>
      <c r="O17" s="12">
        <v>1</v>
      </c>
      <c r="P17" s="6">
        <f>SUM(D17:O17)</f>
        <v>65</v>
      </c>
    </row>
    <row r="18" spans="2:39" x14ac:dyDescent="0.5">
      <c r="C18" t="s">
        <v>47</v>
      </c>
      <c r="D18" s="12">
        <v>1</v>
      </c>
      <c r="E18" s="12">
        <v>1</v>
      </c>
      <c r="F18" s="12">
        <v>1</v>
      </c>
      <c r="G18" s="12">
        <v>1</v>
      </c>
      <c r="H18" s="12">
        <v>1</v>
      </c>
      <c r="I18" s="12">
        <v>3</v>
      </c>
      <c r="J18" s="12">
        <v>7</v>
      </c>
      <c r="K18" s="12">
        <v>5</v>
      </c>
      <c r="L18" s="12">
        <v>2</v>
      </c>
      <c r="M18" s="12">
        <v>1</v>
      </c>
      <c r="N18" s="12">
        <v>0</v>
      </c>
      <c r="O18" s="12">
        <v>1</v>
      </c>
      <c r="P18" s="6">
        <f>SUM(D18:O18)</f>
        <v>24</v>
      </c>
    </row>
    <row r="19" spans="2:39" x14ac:dyDescent="0.5">
      <c r="C19" t="s">
        <v>224</v>
      </c>
      <c r="D19" s="12">
        <v>3</v>
      </c>
      <c r="E19" s="12">
        <v>3</v>
      </c>
      <c r="F19" s="12">
        <v>8</v>
      </c>
      <c r="G19" s="12">
        <v>8</v>
      </c>
      <c r="H19" s="12">
        <v>5</v>
      </c>
      <c r="I19" s="12">
        <v>8</v>
      </c>
      <c r="J19" s="12">
        <v>10</v>
      </c>
      <c r="K19" s="12">
        <v>6</v>
      </c>
      <c r="L19" s="12">
        <v>5</v>
      </c>
      <c r="M19" s="12"/>
      <c r="N19" s="12"/>
      <c r="O19" s="12">
        <v>1</v>
      </c>
      <c r="P19" s="6">
        <f t="shared" ref="P19" si="5">SUM(D19:O19)</f>
        <v>57</v>
      </c>
    </row>
    <row r="20" spans="2:39" x14ac:dyDescent="0.5">
      <c r="C20" t="s">
        <v>48</v>
      </c>
      <c r="D20" s="6">
        <f>AVERAGE(D17:D19)</f>
        <v>2</v>
      </c>
      <c r="E20" s="6">
        <f t="shared" ref="E20:O20" si="6">AVERAGE(E17:E19)</f>
        <v>2</v>
      </c>
      <c r="F20" s="6">
        <f t="shared" si="6"/>
        <v>6</v>
      </c>
      <c r="G20" s="6">
        <f t="shared" si="6"/>
        <v>5</v>
      </c>
      <c r="H20" s="6">
        <f t="shared" si="6"/>
        <v>4.333333333333333</v>
      </c>
      <c r="I20" s="6">
        <f t="shared" si="6"/>
        <v>4.666666666666667</v>
      </c>
      <c r="J20" s="6">
        <f t="shared" si="6"/>
        <v>9.3333333333333339</v>
      </c>
      <c r="K20" s="6">
        <f t="shared" si="6"/>
        <v>8.3333333333333339</v>
      </c>
      <c r="L20" s="6">
        <f t="shared" si="6"/>
        <v>5</v>
      </c>
      <c r="M20" s="6">
        <f t="shared" si="6"/>
        <v>1.5</v>
      </c>
      <c r="N20" s="6">
        <f t="shared" si="6"/>
        <v>0</v>
      </c>
      <c r="O20" s="6">
        <f t="shared" si="6"/>
        <v>1</v>
      </c>
      <c r="P20" s="6">
        <f>AVERAGE(P17:P19)</f>
        <v>48.666666666666664</v>
      </c>
    </row>
    <row r="23" spans="2:39" x14ac:dyDescent="0.5">
      <c r="B23" s="4" t="s">
        <v>130</v>
      </c>
      <c r="C23" s="4"/>
    </row>
    <row r="24" spans="2:39" x14ac:dyDescent="0.5">
      <c r="D24" s="74" t="s">
        <v>9</v>
      </c>
      <c r="E24" s="74"/>
      <c r="F24" s="74"/>
      <c r="G24" s="74" t="s">
        <v>10</v>
      </c>
      <c r="H24" s="74"/>
      <c r="I24" s="74"/>
      <c r="J24" s="74" t="s">
        <v>12</v>
      </c>
      <c r="K24" s="74"/>
      <c r="L24" s="74"/>
      <c r="M24" s="74" t="s">
        <v>37</v>
      </c>
      <c r="N24" s="74"/>
      <c r="O24" s="74"/>
      <c r="P24" s="74" t="s">
        <v>38</v>
      </c>
      <c r="Q24" s="74"/>
      <c r="R24" s="74"/>
      <c r="S24" s="74" t="s">
        <v>39</v>
      </c>
      <c r="T24" s="74"/>
      <c r="U24" s="74"/>
      <c r="V24" s="74" t="s">
        <v>40</v>
      </c>
      <c r="W24" s="74"/>
      <c r="X24" s="74"/>
      <c r="Y24" s="74" t="s">
        <v>126</v>
      </c>
      <c r="Z24" s="74"/>
      <c r="AA24" s="74"/>
      <c r="AB24" s="74" t="s">
        <v>18</v>
      </c>
      <c r="AC24" s="74"/>
      <c r="AD24" s="74"/>
      <c r="AE24" s="74" t="s">
        <v>19</v>
      </c>
      <c r="AF24" s="74"/>
      <c r="AG24" s="74"/>
      <c r="AH24" s="74" t="s">
        <v>20</v>
      </c>
      <c r="AI24" s="74"/>
      <c r="AJ24" s="74"/>
      <c r="AK24" s="74" t="s">
        <v>21</v>
      </c>
      <c r="AL24" s="74"/>
      <c r="AM24" s="74"/>
    </row>
    <row r="25" spans="2:39" x14ac:dyDescent="0.5">
      <c r="D25" s="7" t="s">
        <v>45</v>
      </c>
      <c r="E25" s="7" t="s">
        <v>44</v>
      </c>
      <c r="F25" s="7" t="s">
        <v>23</v>
      </c>
      <c r="G25" s="7" t="s">
        <v>45</v>
      </c>
      <c r="H25" s="7" t="s">
        <v>25</v>
      </c>
      <c r="I25" s="7" t="s">
        <v>23</v>
      </c>
      <c r="J25" s="7" t="s">
        <v>45</v>
      </c>
      <c r="K25" s="7" t="s">
        <v>25</v>
      </c>
      <c r="L25" s="7" t="s">
        <v>23</v>
      </c>
      <c r="M25" s="7" t="s">
        <v>45</v>
      </c>
      <c r="N25" s="7" t="s">
        <v>25</v>
      </c>
      <c r="O25" s="7" t="s">
        <v>23</v>
      </c>
      <c r="P25" s="7" t="s">
        <v>45</v>
      </c>
      <c r="Q25" s="7" t="s">
        <v>25</v>
      </c>
      <c r="R25" s="7" t="s">
        <v>23</v>
      </c>
      <c r="S25" s="7" t="s">
        <v>45</v>
      </c>
      <c r="T25" s="7" t="s">
        <v>25</v>
      </c>
      <c r="U25" s="7" t="s">
        <v>23</v>
      </c>
      <c r="V25" s="7" t="s">
        <v>45</v>
      </c>
      <c r="W25" s="7" t="s">
        <v>25</v>
      </c>
      <c r="X25" s="7" t="s">
        <v>23</v>
      </c>
      <c r="Y25" s="7" t="s">
        <v>45</v>
      </c>
      <c r="Z25" s="7" t="s">
        <v>25</v>
      </c>
      <c r="AA25" s="7" t="s">
        <v>23</v>
      </c>
      <c r="AB25" s="7" t="s">
        <v>45</v>
      </c>
      <c r="AC25" s="7" t="s">
        <v>25</v>
      </c>
      <c r="AD25" s="7" t="s">
        <v>23</v>
      </c>
      <c r="AE25" s="7" t="s">
        <v>45</v>
      </c>
      <c r="AF25" s="7" t="s">
        <v>25</v>
      </c>
      <c r="AG25" s="7" t="s">
        <v>23</v>
      </c>
      <c r="AH25" s="7" t="s">
        <v>45</v>
      </c>
      <c r="AI25" s="7" t="s">
        <v>25</v>
      </c>
      <c r="AJ25" s="7" t="s">
        <v>23</v>
      </c>
      <c r="AK25" s="7" t="s">
        <v>45</v>
      </c>
      <c r="AL25" s="7" t="s">
        <v>25</v>
      </c>
      <c r="AM25" s="7" t="s">
        <v>23</v>
      </c>
    </row>
    <row r="26" spans="2:39" x14ac:dyDescent="0.5">
      <c r="B26" t="s">
        <v>30</v>
      </c>
      <c r="D26" s="12">
        <v>10</v>
      </c>
      <c r="E26" s="12">
        <v>5</v>
      </c>
      <c r="F26" s="13">
        <f>E26/D26</f>
        <v>0.5</v>
      </c>
      <c r="G26" s="12">
        <v>10</v>
      </c>
      <c r="H26" s="12">
        <v>5</v>
      </c>
      <c r="I26" s="13">
        <f>H26/G26</f>
        <v>0.5</v>
      </c>
      <c r="J26" s="12">
        <v>8</v>
      </c>
      <c r="K26" s="12">
        <v>3</v>
      </c>
      <c r="L26" s="13">
        <f>K26/J26</f>
        <v>0.375</v>
      </c>
      <c r="M26" s="12">
        <v>8</v>
      </c>
      <c r="N26" s="12">
        <v>3</v>
      </c>
      <c r="O26" s="13">
        <f>N26/M26</f>
        <v>0.375</v>
      </c>
      <c r="P26" s="12">
        <v>8</v>
      </c>
      <c r="Q26" s="12">
        <v>4</v>
      </c>
      <c r="R26" s="13">
        <f>Q26/P26</f>
        <v>0.5</v>
      </c>
      <c r="S26" s="12">
        <v>8</v>
      </c>
      <c r="T26" s="12">
        <v>3</v>
      </c>
      <c r="U26" s="13">
        <f>T26/S26</f>
        <v>0.375</v>
      </c>
      <c r="V26" s="12">
        <v>8</v>
      </c>
      <c r="W26" s="12">
        <v>3</v>
      </c>
      <c r="X26" s="13">
        <f>W26/V26</f>
        <v>0.375</v>
      </c>
      <c r="Y26" s="12">
        <v>8</v>
      </c>
      <c r="Z26" s="12">
        <v>4</v>
      </c>
      <c r="AA26" s="13">
        <f>Z26/Y26</f>
        <v>0.5</v>
      </c>
      <c r="AB26" s="12">
        <v>10</v>
      </c>
      <c r="AC26" s="12">
        <v>5</v>
      </c>
      <c r="AD26" s="13">
        <f>AC26/AB26</f>
        <v>0.5</v>
      </c>
      <c r="AE26" s="12">
        <v>8</v>
      </c>
      <c r="AF26" s="12">
        <v>5</v>
      </c>
      <c r="AG26" s="13">
        <f>AF26/AE26</f>
        <v>0.625</v>
      </c>
      <c r="AH26" s="12">
        <v>13</v>
      </c>
      <c r="AI26" s="12">
        <v>6</v>
      </c>
      <c r="AJ26" s="13">
        <f>AI26/AH26</f>
        <v>0.46153846153846156</v>
      </c>
      <c r="AK26" s="12">
        <v>10</v>
      </c>
      <c r="AL26" s="12">
        <v>6</v>
      </c>
      <c r="AM26" s="13">
        <f>AL26/AK26</f>
        <v>0.6</v>
      </c>
    </row>
    <row r="27" spans="2:39" ht="40.200000000000003" customHeight="1" x14ac:dyDescent="0.5">
      <c r="B27" t="s">
        <v>31</v>
      </c>
      <c r="D27" s="22">
        <f>COUNTIFS(顧客データ!$J4:$J1048576,"&gt;=2022/3/1",顧客データ!$J4:$J1048576,"&lt;=2022/3/31",顧客データ!$D4:$D1048576,"&lt;&gt;見学（下見）")</f>
        <v>12</v>
      </c>
      <c r="E27" s="22">
        <f>SUM(E28:E30)</f>
        <v>8</v>
      </c>
      <c r="F27" s="23">
        <f>E27/D27</f>
        <v>0.66666666666666663</v>
      </c>
      <c r="G27" s="22">
        <f>COUNTIFS(顧客データ!$J4:$J1048576,"&gt;=2022/4/1",顧客データ!$J4:$J1048576,"&lt;=2022/4/30",顧客データ!$D4:$D1048576,"&lt;&gt;見学（下見）")</f>
        <v>14</v>
      </c>
      <c r="H27" s="22">
        <f>SUM(H28:H30)</f>
        <v>7</v>
      </c>
      <c r="I27" s="23">
        <f>H27/G27</f>
        <v>0.5</v>
      </c>
      <c r="J27" s="22">
        <f>COUNTIFS(顧客データ!$J4:$J1048576,"&gt;=2022/5/1",顧客データ!$J4:$J1048576,"&lt;=2022/5/31",顧客データ!$D4:$D1048576,"&lt;&gt;見学（下見）")</f>
        <v>18</v>
      </c>
      <c r="K27" s="22">
        <f>SUM(K28:K30)</f>
        <v>7</v>
      </c>
      <c r="L27" s="23">
        <f>K27/J27</f>
        <v>0.3888888888888889</v>
      </c>
      <c r="M27" s="22">
        <f>COUNTIFS(顧客データ!$J4:$J1048576,"&gt;=2022/6/1",顧客データ!$J4:$J1048576,"&lt;=2022/6/30",顧客データ!$D4:$D1048576,"&lt;&gt;見学（下見）")</f>
        <v>6</v>
      </c>
      <c r="N27" s="22">
        <f>SUM(N28:N30)</f>
        <v>6</v>
      </c>
      <c r="O27" s="59">
        <f>N27/M27</f>
        <v>1</v>
      </c>
      <c r="P27" s="22">
        <f>COUNTIFS(顧客データ!$J4:$J1048576,"&gt;=2022/7/1",顧客データ!$J4:$J1048576,"&lt;=2022/7/31",顧客データ!$D4:$D1048576,"&lt;&gt;見学（下見）")</f>
        <v>13</v>
      </c>
      <c r="Q27" s="22">
        <f>SUM(Q28:Q30)</f>
        <v>5</v>
      </c>
      <c r="R27" s="23">
        <f>Q27/P27</f>
        <v>0.38461538461538464</v>
      </c>
      <c r="S27" s="22">
        <f>COUNTIFS(顧客データ!$J4:$J1048576,"&gt;=2022/8/1",顧客データ!$J4:$J1048576,"&lt;=2022/8/31",顧客データ!$D4:$D1048576,"&lt;&gt;見学（下見）")</f>
        <v>8</v>
      </c>
      <c r="T27" s="22">
        <f>SUM(T28:T30)</f>
        <v>3</v>
      </c>
      <c r="U27" s="23">
        <f>T27/S27</f>
        <v>0.375</v>
      </c>
      <c r="V27" s="22">
        <f>COUNTIFS(顧客データ!$J4:$J1048576,"&gt;=2022/9/1",顧客データ!$J4:$J1048576,"&lt;=2022/9/30",顧客データ!$D4:$D1048576,"&lt;&gt;見学（下見）")</f>
        <v>10</v>
      </c>
      <c r="W27" s="22">
        <f>SUM(W28:W30)</f>
        <v>4</v>
      </c>
      <c r="X27" s="23">
        <f>W27/V27</f>
        <v>0.4</v>
      </c>
      <c r="Y27" s="22">
        <f>COUNTIFS(顧客データ!$J4:$J1048576,"&gt;=2022/10/1",顧客データ!$J4:$J1048576,"&lt;=2022/10/31",顧客データ!$D4:$D1048576,"&lt;&gt;見学（下見）")</f>
        <v>9</v>
      </c>
      <c r="Z27" s="22">
        <f>SUM(Z28:Z30)</f>
        <v>2</v>
      </c>
      <c r="AA27" s="23">
        <f>Z27/Y27</f>
        <v>0.22222222222222221</v>
      </c>
      <c r="AB27" s="22">
        <f>COUNTIFS(顧客データ!$J4:$J1048576,"&gt;=2022/11/1",顧客データ!$J4:$J1048576,"&lt;=2022/11/30",顧客データ!$D4:$D1048576,"&lt;&gt;見学（下見）")</f>
        <v>12</v>
      </c>
      <c r="AC27" s="22">
        <f>SUM(AC28:AC30)</f>
        <v>4</v>
      </c>
      <c r="AD27" s="23">
        <f>AC27/AB27</f>
        <v>0.33333333333333331</v>
      </c>
      <c r="AE27" s="22">
        <f>COUNTIFS(顧客データ!$J4:$J1048576,"&gt;=2022/12/1",顧客データ!$J4:$J1048576,"&lt;=2022/12/31",顧客データ!$D4:$D1048576,"&lt;&gt;見学（下見）")</f>
        <v>9</v>
      </c>
      <c r="AF27" s="22">
        <f>SUM(AF28:AF30)</f>
        <v>5</v>
      </c>
      <c r="AG27" s="23">
        <f>AF27/AE27</f>
        <v>0.55555555555555558</v>
      </c>
      <c r="AH27" s="22">
        <f>COUNTIFS(顧客データ!$J4:$J1048576,"&gt;=2023/1/1",顧客データ!$J4:$J1048576,"&lt;=2023/1/31",顧客データ!$D4:$D1048576,"&lt;&gt;見学（下見）")</f>
        <v>13</v>
      </c>
      <c r="AI27" s="22">
        <f>SUM(AI28:AI30)</f>
        <v>3</v>
      </c>
      <c r="AJ27" s="23">
        <f>AI27/AH27</f>
        <v>0.23076923076923078</v>
      </c>
      <c r="AK27" s="22">
        <f>COUNTIFS(顧客データ!$J4:$J1048576,"&gt;=2023/2/1",顧客データ!$J4:$J1048576,"&lt;=2023/2/28",顧客データ!$D4:$D1048576,"&lt;&gt;見学（下見）")</f>
        <v>4</v>
      </c>
      <c r="AL27" s="22">
        <f>SUM(AL28:AL30)</f>
        <v>1</v>
      </c>
      <c r="AM27" s="23">
        <f>AL27/AK27</f>
        <v>0.25</v>
      </c>
    </row>
    <row r="28" spans="2:39" s="5" customFormat="1" x14ac:dyDescent="0.5">
      <c r="C28" s="5" t="s">
        <v>49</v>
      </c>
      <c r="D28" s="15" t="s">
        <v>51</v>
      </c>
      <c r="E28" s="14">
        <f>COUNTIFS(顧客データ!$C4:$C1048576,"&gt;=2022/3/1",顧客データ!$C4:$C1048576,"&lt;=2022/3/31",顧客データ!$D4:$D1048576,"=成約（即決）")</f>
        <v>0</v>
      </c>
      <c r="F28" s="15" t="s">
        <v>51</v>
      </c>
      <c r="G28" s="15" t="s">
        <v>51</v>
      </c>
      <c r="H28" s="14">
        <f>COUNTIFS(顧客データ!$C4:$C1048576,"&gt;=2022/4/1",顧客データ!$C4:$C1048576,"&lt;=2022/4/30",顧客データ!$D4:$D1048576,"=成約（即決）")</f>
        <v>2</v>
      </c>
      <c r="I28" s="15" t="s">
        <v>51</v>
      </c>
      <c r="J28" s="15" t="s">
        <v>51</v>
      </c>
      <c r="K28" s="14">
        <f>COUNTIFS(顧客データ!$C4:$C1048576,"&gt;=2022/5/1",顧客データ!$C4:$C1048576,"&lt;=2022/5/31",顧客データ!$D4:$D1048576,"=成約（即決）")</f>
        <v>1</v>
      </c>
      <c r="L28" s="15" t="s">
        <v>51</v>
      </c>
      <c r="M28" s="15" t="s">
        <v>51</v>
      </c>
      <c r="N28" s="14">
        <f>COUNTIFS(顧客データ!$C4:$C1048576,"&gt;=2022/6/1",顧客データ!$C4:$C1048576,"&lt;=2022/6/30",顧客データ!$D4:$D1048576,"=成約（即決）")</f>
        <v>1</v>
      </c>
      <c r="O28" s="15" t="s">
        <v>51</v>
      </c>
      <c r="P28" s="15" t="s">
        <v>51</v>
      </c>
      <c r="Q28" s="14">
        <f>COUNTIFS(顧客データ!$C4:$C1048576,"&gt;=2022/7/1",顧客データ!$C4:$C1048576,"&lt;=2022/7/31",顧客データ!$D4:$D1048576,"=成約（即決）")</f>
        <v>1</v>
      </c>
      <c r="R28" s="15" t="s">
        <v>51</v>
      </c>
      <c r="S28" s="15" t="s">
        <v>51</v>
      </c>
      <c r="T28" s="14">
        <f>COUNTIFS(顧客データ!$C4:$C1048576,"&gt;=2022/8/1",顧客データ!$C4:$C1048576,"&lt;=2022/8/31",顧客データ!$D4:$D1048576,"=成約（即決）")</f>
        <v>0</v>
      </c>
      <c r="U28" s="15" t="s">
        <v>51</v>
      </c>
      <c r="V28" s="15" t="s">
        <v>51</v>
      </c>
      <c r="W28" s="14">
        <f>COUNTIFS(顧客データ!$C4:$C1048576,"&gt;=2022/9/1",顧客データ!$C4:$C1048576,"&lt;=2022/9/30",顧客データ!$D4:$D1048576,"=成約（即決）")</f>
        <v>0</v>
      </c>
      <c r="X28" s="15" t="s">
        <v>51</v>
      </c>
      <c r="Y28" s="15" t="s">
        <v>51</v>
      </c>
      <c r="Z28" s="14">
        <f>COUNTIFS(顧客データ!$C4:$C1048576,"&gt;=2022/10/1",顧客データ!$C4:$C1048576,"&lt;=2022/10/31",顧客データ!$D4:$D1048576,"=成約（即決）")</f>
        <v>0</v>
      </c>
      <c r="AA28" s="15" t="s">
        <v>51</v>
      </c>
      <c r="AB28" s="15" t="s">
        <v>51</v>
      </c>
      <c r="AC28" s="14">
        <f>COUNTIFS(顧客データ!$C4:$C1048576,"&gt;=2022/11/1",顧客データ!$C4:$C1048576,"&lt;=2022/11/30",顧客データ!$D4:$D1048576,"=成約（即決）")</f>
        <v>1</v>
      </c>
      <c r="AD28" s="15" t="s">
        <v>51</v>
      </c>
      <c r="AE28" s="15" t="s">
        <v>51</v>
      </c>
      <c r="AF28" s="14">
        <f>COUNTIFS(顧客データ!$C4:$C1048576,"&gt;=2022/12/1",顧客データ!$C4:$C1048576,"&lt;=2022/12/31",顧客データ!$D4:$D1048576,"=成約（即決）")</f>
        <v>0</v>
      </c>
      <c r="AG28" s="15" t="s">
        <v>51</v>
      </c>
      <c r="AH28" s="15" t="s">
        <v>51</v>
      </c>
      <c r="AI28" s="14">
        <f>COUNTIFS(顧客データ!$C4:$C1048576,"&gt;=2023/1/1",顧客データ!$C4:$C1048576,"&lt;=2023/1/31",顧客データ!$D4:$D1048576,"=成約（即決）")</f>
        <v>1</v>
      </c>
      <c r="AJ28" s="15" t="s">
        <v>51</v>
      </c>
      <c r="AK28" s="15" t="s">
        <v>51</v>
      </c>
      <c r="AL28" s="14">
        <f>COUNTIFS(顧客データ!$C4:$C1048576,"&gt;=2023/2/1",顧客データ!$C4:$C1048576,"&lt;=2023/2/28",顧客データ!$D4:$D1048576,"=成約（即決）")</f>
        <v>0</v>
      </c>
      <c r="AM28" s="15" t="s">
        <v>51</v>
      </c>
    </row>
    <row r="29" spans="2:39" s="5" customFormat="1" x14ac:dyDescent="0.5">
      <c r="C29" s="5" t="s">
        <v>125</v>
      </c>
      <c r="D29" s="15" t="s">
        <v>51</v>
      </c>
      <c r="E29" s="14">
        <f>COUNTIFS(顧客データ!$C4:$C1048576,"&gt;=2022/3/1",顧客データ!$C4:$C1048576,"&lt;=2022/3/31",顧客データ!$D4:$D1048576,"=成約（仮より）")</f>
        <v>6</v>
      </c>
      <c r="F29" s="15" t="s">
        <v>51</v>
      </c>
      <c r="G29" s="15" t="s">
        <v>51</v>
      </c>
      <c r="H29" s="14">
        <f>COUNTIFS(顧客データ!$C4:$C1048576,"&gt;=2022/4/1",顧客データ!$C4:$C1048576,"&lt;=2022/4/30",顧客データ!$D4:$D1048576,"=成約（仮より）")</f>
        <v>4</v>
      </c>
      <c r="I29" s="15" t="s">
        <v>51</v>
      </c>
      <c r="J29" s="15" t="s">
        <v>51</v>
      </c>
      <c r="K29" s="14">
        <f>COUNTIFS(顧客データ!$C4:$C1048576,"&gt;=2022/5/1",顧客データ!$C4:$C1048576,"&lt;=2022/5/31",顧客データ!$D4:$D1048576,"=成約（仮より）")</f>
        <v>4</v>
      </c>
      <c r="L29" s="15" t="s">
        <v>51</v>
      </c>
      <c r="M29" s="15" t="s">
        <v>51</v>
      </c>
      <c r="N29" s="14">
        <f>COUNTIFS(顧客データ!$C4:$C1048576,"&gt;=2022/6/1",顧客データ!$C4:$C1048576,"&lt;=2022/6/30",顧客データ!$D4:$D1048576,"=成約（仮より）")</f>
        <v>3</v>
      </c>
      <c r="O29" s="15" t="s">
        <v>51</v>
      </c>
      <c r="P29" s="15" t="s">
        <v>51</v>
      </c>
      <c r="Q29" s="14">
        <f>COUNTIFS(顧客データ!$C4:$C1048576,"&gt;=2022/7/1",顧客データ!$C4:$C1048576,"&lt;=2022/7/31",顧客データ!$D4:$D1048576,"=成約（仮より）")</f>
        <v>4</v>
      </c>
      <c r="R29" s="15" t="s">
        <v>51</v>
      </c>
      <c r="S29" s="15" t="s">
        <v>51</v>
      </c>
      <c r="T29" s="14">
        <f>COUNTIFS(顧客データ!$C4:$C1048576,"&gt;=2022/8/1",顧客データ!$C4:$C1048576,"&lt;=2022/8/31",顧客データ!$D4:$D1048576,"=成約（仮より）")</f>
        <v>3</v>
      </c>
      <c r="U29" s="15" t="s">
        <v>51</v>
      </c>
      <c r="V29" s="15" t="s">
        <v>51</v>
      </c>
      <c r="W29" s="14">
        <f>COUNTIFS(顧客データ!$C4:$C1048576,"&gt;=2022/9/1",顧客データ!$C4:$C1048576,"&lt;=2022/9/30",顧客データ!$D4:$D1048576,"=成約（仮より）")</f>
        <v>4</v>
      </c>
      <c r="X29" s="15" t="s">
        <v>51</v>
      </c>
      <c r="Y29" s="15" t="s">
        <v>51</v>
      </c>
      <c r="Z29" s="14">
        <f>COUNTIFS(顧客データ!$C4:$C1048576,"&gt;=2022/10/1",顧客データ!$C4:$C1048576,"&lt;=2022/10/31",顧客データ!$D4:$D1048576,"=成約（仮より）")</f>
        <v>0</v>
      </c>
      <c r="AA29" s="15" t="s">
        <v>51</v>
      </c>
      <c r="AB29" s="15" t="s">
        <v>51</v>
      </c>
      <c r="AC29" s="14">
        <f>COUNTIFS(顧客データ!$C4:$C1048576,"&gt;=2022/11/1",顧客データ!$C4:$C1048576,"&lt;=2022/11/30",顧客データ!$D4:$D1048576,"=成約（仮より）")</f>
        <v>1</v>
      </c>
      <c r="AD29" s="15" t="s">
        <v>51</v>
      </c>
      <c r="AE29" s="15" t="s">
        <v>51</v>
      </c>
      <c r="AF29" s="14">
        <f>COUNTIFS(顧客データ!$C4:$C1048576,"&gt;=2022/12/1",顧客データ!$C4:$C1048576,"&lt;=2022/12/31",顧客データ!$D4:$D1048576,"=成約（仮より）")</f>
        <v>5</v>
      </c>
      <c r="AG29" s="15" t="s">
        <v>51</v>
      </c>
      <c r="AH29" s="15" t="s">
        <v>51</v>
      </c>
      <c r="AI29" s="14">
        <f>COUNTIFS(顧客データ!$C4:$C1048576,"&gt;=2023/1/1",顧客データ!$C4:$C1048576,"&lt;=2023/1/31",顧客データ!$D4:$D1048576,"=成約（仮より）")</f>
        <v>1</v>
      </c>
      <c r="AJ29" s="15" t="s">
        <v>51</v>
      </c>
      <c r="AK29" s="15" t="s">
        <v>51</v>
      </c>
      <c r="AL29" s="14">
        <f>COUNTIFS(顧客データ!$C4:$C1048576,"&gt;=2023/2/1",顧客データ!$C4:$C1048576,"&lt;=2023/2/28",顧客データ!$D4:$D1048576,"=成約（仮より）")</f>
        <v>1</v>
      </c>
      <c r="AM29" s="15" t="s">
        <v>51</v>
      </c>
    </row>
    <row r="30" spans="2:39" s="5" customFormat="1" x14ac:dyDescent="0.5">
      <c r="C30" s="5" t="s">
        <v>50</v>
      </c>
      <c r="D30" s="15" t="s">
        <v>51</v>
      </c>
      <c r="E30" s="14">
        <f>COUNTIFS(顧客データ!$C4:$C1048576,"&gt;=2022/3/1",顧客データ!$C4:$C1048576,"&lt;=2022/3/31",顧客データ!$D4:$D1048576,"=成約（仮なしより）")</f>
        <v>2</v>
      </c>
      <c r="F30" s="15" t="s">
        <v>51</v>
      </c>
      <c r="G30" s="15" t="s">
        <v>51</v>
      </c>
      <c r="H30" s="14">
        <f>COUNTIFS(顧客データ!$C4:$C1048576,"&gt;=2022/4/1",顧客データ!$C4:$C1048576,"&lt;=2022/4/30",顧客データ!$D4:$D1048576,"=成約（仮なしより）")</f>
        <v>1</v>
      </c>
      <c r="I30" s="15" t="s">
        <v>51</v>
      </c>
      <c r="J30" s="15" t="s">
        <v>51</v>
      </c>
      <c r="K30" s="14">
        <f>COUNTIFS(顧客データ!$C4:$C1048576,"&gt;=2022/5/1",顧客データ!$C4:$C1048576,"&lt;=2022/5/31",顧客データ!$D4:$D1048576,"=成約（仮なしより）")</f>
        <v>2</v>
      </c>
      <c r="L30" s="15" t="s">
        <v>51</v>
      </c>
      <c r="M30" s="15" t="s">
        <v>51</v>
      </c>
      <c r="N30" s="14">
        <f>COUNTIFS(顧客データ!$C4:$C1048576,"&gt;=2022/6/1",顧客データ!$C4:$C1048576,"&lt;=2022/6/30",顧客データ!$D4:$D1048576,"=成約（仮なしより）")</f>
        <v>2</v>
      </c>
      <c r="O30" s="15" t="s">
        <v>51</v>
      </c>
      <c r="P30" s="15" t="s">
        <v>51</v>
      </c>
      <c r="Q30" s="14">
        <f>COUNTIFS(顧客データ!$C4:$C1048576,"&gt;=2022/7/1",顧客データ!$C4:$C1048576,"&lt;=2022/7/31",顧客データ!$D4:$D1048576,"=成約（仮なしより）")</f>
        <v>0</v>
      </c>
      <c r="R30" s="15" t="s">
        <v>51</v>
      </c>
      <c r="S30" s="15" t="s">
        <v>51</v>
      </c>
      <c r="T30" s="14">
        <f>COUNTIFS(顧客データ!$C4:$C1048576,"&gt;=2022/8/1",顧客データ!$C4:$C1048576,"&lt;=2022/8/31",顧客データ!$D4:$D1048576,"=成約（仮なしより）")</f>
        <v>0</v>
      </c>
      <c r="U30" s="15" t="s">
        <v>51</v>
      </c>
      <c r="V30" s="15" t="s">
        <v>51</v>
      </c>
      <c r="W30" s="14">
        <f>COUNTIFS(顧客データ!$C4:$C1048576,"&gt;=2022/9/1",顧客データ!$C4:$C1048576,"&lt;=2022/9/30",顧客データ!$D4:$D1048576,"=成約（仮なしより）")</f>
        <v>0</v>
      </c>
      <c r="X30" s="15" t="s">
        <v>51</v>
      </c>
      <c r="Y30" s="15" t="s">
        <v>51</v>
      </c>
      <c r="Z30" s="14">
        <f>COUNTIFS(顧客データ!$C4:$C1048576,"&gt;=2022/10/1",顧客データ!$C4:$C1048576,"&lt;=2022/10/31",顧客データ!$D4:$D1048576,"=成約（仮なしより）")</f>
        <v>2</v>
      </c>
      <c r="AA30" s="15" t="s">
        <v>51</v>
      </c>
      <c r="AB30" s="15" t="s">
        <v>51</v>
      </c>
      <c r="AC30" s="14">
        <f>COUNTIFS(顧客データ!$C4:$C1048576,"&gt;=2022/11/1",顧客データ!$C4:$C1048576,"&lt;=2022/11/30",顧客データ!$D4:$D1048576,"=成約（仮なしより）")</f>
        <v>2</v>
      </c>
      <c r="AD30" s="15" t="s">
        <v>51</v>
      </c>
      <c r="AE30" s="15" t="s">
        <v>51</v>
      </c>
      <c r="AF30" s="14">
        <f>COUNTIFS(顧客データ!$C4:$C1048576,"&gt;=2022/12/1",顧客データ!$C4:$C1048576,"&lt;=2022/12/31",顧客データ!$D4:$D1048576,"=成約（仮なしより）")</f>
        <v>0</v>
      </c>
      <c r="AG30" s="15" t="s">
        <v>51</v>
      </c>
      <c r="AH30" s="15" t="s">
        <v>51</v>
      </c>
      <c r="AI30" s="14">
        <f>COUNTIFS(顧客データ!$C4:$C1048576,"&gt;=2023/1/1",顧客データ!$C4:$C1048576,"&lt;=2023/1/31",顧客データ!$D4:$D1048576,"=成約（仮なしより）")</f>
        <v>1</v>
      </c>
      <c r="AJ30" s="15" t="s">
        <v>51</v>
      </c>
      <c r="AK30" s="15" t="s">
        <v>51</v>
      </c>
      <c r="AL30" s="14">
        <f>COUNTIFS(顧客データ!$C4:$C1048576,"&gt;=2023/2/1",顧客データ!$C4:$C1048576,"&lt;=2023/2/28",顧客データ!$D4:$D1048576,"=成約（仮なしより）")</f>
        <v>0</v>
      </c>
      <c r="AM30" s="15" t="s">
        <v>51</v>
      </c>
    </row>
    <row r="31" spans="2:39" x14ac:dyDescent="0.5">
      <c r="B31" t="s">
        <v>41</v>
      </c>
      <c r="D31" s="13">
        <f>D27/D26</f>
        <v>1.2</v>
      </c>
      <c r="E31" s="13">
        <f>E27/E26</f>
        <v>1.6</v>
      </c>
      <c r="F31" s="15" t="s">
        <v>51</v>
      </c>
      <c r="G31" s="13">
        <f>G27/G26</f>
        <v>1.4</v>
      </c>
      <c r="H31" s="13">
        <f>H27/H26</f>
        <v>1.4</v>
      </c>
      <c r="I31" s="15" t="s">
        <v>51</v>
      </c>
      <c r="J31" s="13">
        <f>J27/J26</f>
        <v>2.25</v>
      </c>
      <c r="K31" s="13">
        <f>K27/K26</f>
        <v>2.3333333333333335</v>
      </c>
      <c r="L31" s="15" t="s">
        <v>51</v>
      </c>
      <c r="M31" s="13">
        <f>M27/M26</f>
        <v>0.75</v>
      </c>
      <c r="N31" s="13">
        <f>N27/N26</f>
        <v>2</v>
      </c>
      <c r="O31" s="15" t="s">
        <v>51</v>
      </c>
      <c r="P31" s="13">
        <f>P27/P26</f>
        <v>1.625</v>
      </c>
      <c r="Q31" s="13">
        <f>Q27/Q26</f>
        <v>1.25</v>
      </c>
      <c r="R31" s="15" t="s">
        <v>51</v>
      </c>
      <c r="S31" s="13">
        <f>S27/S26</f>
        <v>1</v>
      </c>
      <c r="T31" s="13">
        <f>T27/T26</f>
        <v>1</v>
      </c>
      <c r="U31" s="15" t="s">
        <v>51</v>
      </c>
      <c r="V31" s="13">
        <f>V27/V26</f>
        <v>1.25</v>
      </c>
      <c r="W31" s="13">
        <f>W27/W26</f>
        <v>1.3333333333333333</v>
      </c>
      <c r="X31" s="15" t="s">
        <v>51</v>
      </c>
      <c r="Y31" s="13">
        <f>Y27/Y26</f>
        <v>1.125</v>
      </c>
      <c r="Z31" s="13">
        <f>Z27/Z26</f>
        <v>0.5</v>
      </c>
      <c r="AA31" s="15" t="s">
        <v>51</v>
      </c>
      <c r="AB31" s="13">
        <f>AB27/AB26</f>
        <v>1.2</v>
      </c>
      <c r="AC31" s="13">
        <f>AC27/AC26</f>
        <v>0.8</v>
      </c>
      <c r="AD31" s="15" t="s">
        <v>51</v>
      </c>
      <c r="AE31" s="13">
        <f>AE27/AE26</f>
        <v>1.125</v>
      </c>
      <c r="AF31" s="13">
        <f>AF27/AF26</f>
        <v>1</v>
      </c>
      <c r="AG31" s="15" t="s">
        <v>51</v>
      </c>
      <c r="AH31" s="13">
        <f>AH27/AH26</f>
        <v>1</v>
      </c>
      <c r="AI31" s="13">
        <f>AI27/AI26</f>
        <v>0.5</v>
      </c>
      <c r="AJ31" s="15" t="s">
        <v>51</v>
      </c>
      <c r="AK31" s="13">
        <f>AK27/AK26</f>
        <v>0.4</v>
      </c>
      <c r="AL31" s="13">
        <f>AL27/AL26</f>
        <v>0.16666666666666666</v>
      </c>
      <c r="AM31" s="15" t="s">
        <v>51</v>
      </c>
    </row>
    <row r="32" spans="2:39" x14ac:dyDescent="0.5">
      <c r="B32" t="s">
        <v>32</v>
      </c>
      <c r="D32" s="13">
        <f>D27/D34</f>
        <v>1.7142857142857142</v>
      </c>
      <c r="E32" s="13">
        <f>E27/E34</f>
        <v>1.1428571428571428</v>
      </c>
      <c r="F32" s="15" t="s">
        <v>51</v>
      </c>
      <c r="G32" s="13">
        <f>G27/G34</f>
        <v>1.0769230769230769</v>
      </c>
      <c r="H32" s="13">
        <f>H27/H34</f>
        <v>1.4</v>
      </c>
      <c r="I32" s="15" t="s">
        <v>51</v>
      </c>
      <c r="J32" s="13">
        <f>J27/J34</f>
        <v>2</v>
      </c>
      <c r="K32" s="13">
        <f>K27/K34</f>
        <v>1.75</v>
      </c>
      <c r="L32" s="15" t="s">
        <v>51</v>
      </c>
      <c r="M32" s="13">
        <f>M27/M34</f>
        <v>0.8571428571428571</v>
      </c>
      <c r="N32" s="13">
        <f>N27/N34</f>
        <v>1</v>
      </c>
      <c r="O32" s="15" t="s">
        <v>51</v>
      </c>
      <c r="P32" s="13">
        <f>P27/P34</f>
        <v>1.8571428571428572</v>
      </c>
      <c r="Q32" s="13">
        <f>Q27/Q34</f>
        <v>1.6666666666666667</v>
      </c>
      <c r="R32" s="15" t="s">
        <v>51</v>
      </c>
      <c r="S32" s="13">
        <f>S27/S34</f>
        <v>0.61538461538461542</v>
      </c>
      <c r="T32" s="13">
        <f>T27/T34</f>
        <v>0.75</v>
      </c>
      <c r="U32" s="15" t="s">
        <v>51</v>
      </c>
      <c r="V32" s="13">
        <f>V27/V34</f>
        <v>1.4285714285714286</v>
      </c>
      <c r="W32" s="13">
        <f>W27/W34</f>
        <v>0.5714285714285714</v>
      </c>
      <c r="X32" s="15" t="s">
        <v>51</v>
      </c>
      <c r="Y32" s="13">
        <f>Y27/Y34</f>
        <v>1.125</v>
      </c>
      <c r="Z32" s="13">
        <f>Z27/Z34</f>
        <v>0.66666666666666663</v>
      </c>
      <c r="AA32" s="15" t="s">
        <v>51</v>
      </c>
      <c r="AB32" s="13">
        <f>AB27/AB34</f>
        <v>2</v>
      </c>
      <c r="AC32" s="13">
        <f>AC27/AC34</f>
        <v>1</v>
      </c>
      <c r="AD32" s="15" t="s">
        <v>51</v>
      </c>
      <c r="AE32" s="13">
        <f>AE27/AE34</f>
        <v>1.8</v>
      </c>
      <c r="AF32" s="13">
        <f>AF27/AF34</f>
        <v>-5</v>
      </c>
      <c r="AG32" s="15" t="s">
        <v>51</v>
      </c>
      <c r="AH32" s="13">
        <f>AH27/AH34</f>
        <v>0.8125</v>
      </c>
      <c r="AI32" s="13">
        <f>AI27/AI34</f>
        <v>0.6</v>
      </c>
      <c r="AJ32" s="15" t="s">
        <v>51</v>
      </c>
      <c r="AK32" s="13" t="e">
        <f>AK27/AK34</f>
        <v>#DIV/0!</v>
      </c>
      <c r="AL32" s="13" t="e">
        <f>AL27/AL34</f>
        <v>#DIV/0!</v>
      </c>
      <c r="AM32" s="15" t="s">
        <v>51</v>
      </c>
    </row>
    <row r="33" spans="2:39" x14ac:dyDescent="0.5">
      <c r="B33" t="s">
        <v>33</v>
      </c>
      <c r="D33" s="13">
        <f>D27/AH34</f>
        <v>0.75</v>
      </c>
      <c r="E33" s="13">
        <f>E27/AI34</f>
        <v>1.6</v>
      </c>
      <c r="F33" s="15" t="s">
        <v>51</v>
      </c>
      <c r="G33" s="13" t="e">
        <f>G27/AK34</f>
        <v>#DIV/0!</v>
      </c>
      <c r="H33" s="13" t="e">
        <f>H27/AL34</f>
        <v>#DIV/0!</v>
      </c>
      <c r="I33" s="15" t="s">
        <v>51</v>
      </c>
      <c r="J33" s="13" t="e">
        <f>J27/AN34</f>
        <v>#DIV/0!</v>
      </c>
      <c r="K33" s="13" t="e">
        <f>K27/AO34</f>
        <v>#DIV/0!</v>
      </c>
      <c r="L33" s="15" t="s">
        <v>51</v>
      </c>
      <c r="M33" s="13" t="e">
        <f>M27/AQ34</f>
        <v>#DIV/0!</v>
      </c>
      <c r="N33" s="13" t="e">
        <f>N27/AR34</f>
        <v>#DIV/0!</v>
      </c>
      <c r="O33" s="15" t="s">
        <v>51</v>
      </c>
      <c r="P33" s="13" t="e">
        <f>P27/AT34</f>
        <v>#DIV/0!</v>
      </c>
      <c r="Q33" s="13" t="e">
        <f>Q27/AU34</f>
        <v>#DIV/0!</v>
      </c>
      <c r="R33" s="15" t="s">
        <v>51</v>
      </c>
      <c r="S33" s="13" t="e">
        <f>S27/AW34</f>
        <v>#DIV/0!</v>
      </c>
      <c r="T33" s="13" t="e">
        <f>T27/AX34</f>
        <v>#DIV/0!</v>
      </c>
      <c r="U33" s="15" t="s">
        <v>51</v>
      </c>
      <c r="V33" s="13" t="e">
        <f>V27/AZ34</f>
        <v>#DIV/0!</v>
      </c>
      <c r="W33" s="13" t="e">
        <f>W27/BA34</f>
        <v>#DIV/0!</v>
      </c>
      <c r="X33" s="15" t="s">
        <v>51</v>
      </c>
      <c r="Y33" s="13" t="e">
        <f>Y27/BC34</f>
        <v>#DIV/0!</v>
      </c>
      <c r="Z33" s="13" t="e">
        <f>Z27/BD34</f>
        <v>#DIV/0!</v>
      </c>
      <c r="AA33" s="15" t="s">
        <v>51</v>
      </c>
      <c r="AB33" s="13" t="e">
        <f>AB27/BF34</f>
        <v>#DIV/0!</v>
      </c>
      <c r="AC33" s="13" t="e">
        <f>AC27/BG34</f>
        <v>#DIV/0!</v>
      </c>
      <c r="AD33" s="15" t="s">
        <v>51</v>
      </c>
      <c r="AE33" s="13" t="e">
        <f>AE27/BI34</f>
        <v>#DIV/0!</v>
      </c>
      <c r="AF33" s="13" t="e">
        <f>AF27/BJ34</f>
        <v>#DIV/0!</v>
      </c>
      <c r="AG33" s="15" t="s">
        <v>51</v>
      </c>
      <c r="AH33" s="13" t="e">
        <f>AH27/BL34</f>
        <v>#DIV/0!</v>
      </c>
      <c r="AI33" s="13" t="e">
        <f>AI27/BM34</f>
        <v>#DIV/0!</v>
      </c>
      <c r="AJ33" s="15" t="s">
        <v>51</v>
      </c>
      <c r="AK33" s="13" t="e">
        <f>AK27/BO34</f>
        <v>#DIV/0!</v>
      </c>
      <c r="AL33" s="13" t="e">
        <f>AL27/BP34</f>
        <v>#DIV/0!</v>
      </c>
      <c r="AM33" s="15" t="s">
        <v>51</v>
      </c>
    </row>
    <row r="34" spans="2:39" x14ac:dyDescent="0.5">
      <c r="C34" t="s">
        <v>34</v>
      </c>
      <c r="D34" s="12">
        <v>7</v>
      </c>
      <c r="E34" s="12">
        <v>7</v>
      </c>
      <c r="F34" s="13">
        <f t="shared" ref="F34:F36" si="7">E34/D34</f>
        <v>1</v>
      </c>
      <c r="G34" s="12">
        <v>13</v>
      </c>
      <c r="H34" s="12">
        <v>5</v>
      </c>
      <c r="I34" s="13">
        <f t="shared" ref="I34:I36" si="8">H34/G34</f>
        <v>0.38461538461538464</v>
      </c>
      <c r="J34" s="12">
        <v>9</v>
      </c>
      <c r="K34" s="12">
        <v>4</v>
      </c>
      <c r="L34" s="13">
        <f t="shared" ref="L34:L36" si="9">K34/J34</f>
        <v>0.44444444444444442</v>
      </c>
      <c r="M34" s="12">
        <v>7</v>
      </c>
      <c r="N34" s="12">
        <v>6</v>
      </c>
      <c r="O34" s="13">
        <f t="shared" ref="O34:O36" si="10">N34/M34</f>
        <v>0.8571428571428571</v>
      </c>
      <c r="P34" s="12">
        <v>7</v>
      </c>
      <c r="Q34" s="12">
        <v>3</v>
      </c>
      <c r="R34" s="13">
        <f t="shared" ref="R34:R36" si="11">Q34/P34</f>
        <v>0.42857142857142855</v>
      </c>
      <c r="S34" s="12">
        <v>13</v>
      </c>
      <c r="T34" s="12">
        <v>4</v>
      </c>
      <c r="U34" s="13">
        <f t="shared" ref="U34:U36" si="12">T34/S34</f>
        <v>0.30769230769230771</v>
      </c>
      <c r="V34" s="12">
        <v>7</v>
      </c>
      <c r="W34" s="12">
        <v>7</v>
      </c>
      <c r="X34" s="13">
        <f t="shared" ref="X34:X36" si="13">W34/V34</f>
        <v>1</v>
      </c>
      <c r="Y34" s="12">
        <v>8</v>
      </c>
      <c r="Z34" s="12">
        <v>3</v>
      </c>
      <c r="AA34" s="13">
        <f t="shared" ref="AA34:AA36" si="14">Z34/Y34</f>
        <v>0.375</v>
      </c>
      <c r="AB34" s="12">
        <v>6</v>
      </c>
      <c r="AC34" s="12">
        <v>4</v>
      </c>
      <c r="AD34" s="13">
        <f t="shared" ref="AD34:AD36" si="15">AC34/AB34</f>
        <v>0.66666666666666663</v>
      </c>
      <c r="AE34" s="12">
        <v>5</v>
      </c>
      <c r="AF34" s="12">
        <v>-1</v>
      </c>
      <c r="AG34" s="13">
        <f t="shared" ref="AG34:AG36" si="16">AF34/AE34</f>
        <v>-0.2</v>
      </c>
      <c r="AH34" s="12">
        <v>16</v>
      </c>
      <c r="AI34" s="12">
        <v>5</v>
      </c>
      <c r="AJ34" s="13">
        <f t="shared" ref="AJ34:AJ36" si="17">AI34/AH34</f>
        <v>0.3125</v>
      </c>
      <c r="AK34" s="12"/>
      <c r="AL34" s="12"/>
      <c r="AM34" s="13" t="e">
        <f t="shared" ref="AM34:AM36" si="18">AL34/AK34</f>
        <v>#DIV/0!</v>
      </c>
    </row>
    <row r="35" spans="2:39" x14ac:dyDescent="0.5">
      <c r="C35" t="s">
        <v>35</v>
      </c>
      <c r="D35" s="12">
        <v>12</v>
      </c>
      <c r="E35" s="12">
        <v>5</v>
      </c>
      <c r="F35" s="13">
        <f t="shared" si="7"/>
        <v>0.41666666666666669</v>
      </c>
      <c r="G35" s="12">
        <v>0</v>
      </c>
      <c r="H35" s="12">
        <v>1</v>
      </c>
      <c r="I35" s="13" t="e">
        <f t="shared" si="8"/>
        <v>#DIV/0!</v>
      </c>
      <c r="J35" s="12">
        <v>3</v>
      </c>
      <c r="K35" s="12">
        <v>1</v>
      </c>
      <c r="L35" s="13">
        <f t="shared" si="9"/>
        <v>0.33333333333333331</v>
      </c>
      <c r="M35" s="12">
        <v>13</v>
      </c>
      <c r="N35" s="12">
        <v>10</v>
      </c>
      <c r="O35" s="13">
        <f t="shared" si="10"/>
        <v>0.76923076923076927</v>
      </c>
      <c r="P35" s="12">
        <v>5</v>
      </c>
      <c r="Q35" s="12">
        <v>3</v>
      </c>
      <c r="R35" s="13">
        <f t="shared" si="11"/>
        <v>0.6</v>
      </c>
      <c r="S35" s="12">
        <v>8</v>
      </c>
      <c r="T35" s="12">
        <v>3</v>
      </c>
      <c r="U35" s="13">
        <f t="shared" si="12"/>
        <v>0.375</v>
      </c>
      <c r="V35" s="12">
        <v>7</v>
      </c>
      <c r="W35" s="12">
        <v>3</v>
      </c>
      <c r="X35" s="13">
        <f t="shared" si="13"/>
        <v>0.42857142857142855</v>
      </c>
      <c r="Y35" s="12">
        <v>9</v>
      </c>
      <c r="Z35" s="12">
        <v>6</v>
      </c>
      <c r="AA35" s="13">
        <f t="shared" si="14"/>
        <v>0.66666666666666663</v>
      </c>
      <c r="AB35" s="12">
        <v>10</v>
      </c>
      <c r="AC35" s="12">
        <v>2</v>
      </c>
      <c r="AD35" s="13">
        <f t="shared" si="15"/>
        <v>0.2</v>
      </c>
      <c r="AE35" s="12">
        <v>6</v>
      </c>
      <c r="AF35" s="12">
        <v>1</v>
      </c>
      <c r="AG35" s="13">
        <f t="shared" si="16"/>
        <v>0.16666666666666666</v>
      </c>
      <c r="AH35" s="12">
        <v>12</v>
      </c>
      <c r="AI35" s="12">
        <v>5</v>
      </c>
      <c r="AJ35" s="13">
        <f t="shared" si="17"/>
        <v>0.41666666666666669</v>
      </c>
      <c r="AK35" s="12">
        <v>8</v>
      </c>
      <c r="AL35" s="12">
        <v>8</v>
      </c>
      <c r="AM35" s="13">
        <f t="shared" si="18"/>
        <v>1</v>
      </c>
    </row>
    <row r="36" spans="2:39" x14ac:dyDescent="0.5">
      <c r="C36" t="s">
        <v>36</v>
      </c>
      <c r="D36" s="12">
        <v>14</v>
      </c>
      <c r="E36" s="12">
        <v>6</v>
      </c>
      <c r="F36" s="13">
        <f t="shared" si="7"/>
        <v>0.42857142857142855</v>
      </c>
      <c r="G36" s="12">
        <v>9</v>
      </c>
      <c r="H36" s="12">
        <v>4</v>
      </c>
      <c r="I36" s="13">
        <f t="shared" si="8"/>
        <v>0.44444444444444442</v>
      </c>
      <c r="J36" s="12">
        <v>8</v>
      </c>
      <c r="K36" s="12">
        <v>5</v>
      </c>
      <c r="L36" s="13">
        <f t="shared" si="9"/>
        <v>0.625</v>
      </c>
      <c r="M36" s="12">
        <v>10</v>
      </c>
      <c r="N36" s="12">
        <v>4</v>
      </c>
      <c r="O36" s="13">
        <f t="shared" si="10"/>
        <v>0.4</v>
      </c>
      <c r="P36" s="12">
        <v>7</v>
      </c>
      <c r="Q36" s="12">
        <v>3</v>
      </c>
      <c r="R36" s="13">
        <f t="shared" si="11"/>
        <v>0.42857142857142855</v>
      </c>
      <c r="S36" s="12">
        <v>9</v>
      </c>
      <c r="T36" s="12">
        <v>4</v>
      </c>
      <c r="U36" s="13">
        <f t="shared" si="12"/>
        <v>0.44444444444444442</v>
      </c>
      <c r="V36" s="12">
        <v>9</v>
      </c>
      <c r="W36" s="12">
        <v>4</v>
      </c>
      <c r="X36" s="13">
        <f t="shared" si="13"/>
        <v>0.44444444444444442</v>
      </c>
      <c r="Y36" s="12">
        <v>4</v>
      </c>
      <c r="Z36" s="12">
        <v>2</v>
      </c>
      <c r="AA36" s="13">
        <f t="shared" si="14"/>
        <v>0.5</v>
      </c>
      <c r="AB36" s="12">
        <v>7</v>
      </c>
      <c r="AC36" s="12">
        <v>5</v>
      </c>
      <c r="AD36" s="13">
        <f t="shared" si="15"/>
        <v>0.7142857142857143</v>
      </c>
      <c r="AE36" s="12">
        <v>11</v>
      </c>
      <c r="AF36" s="12">
        <v>5</v>
      </c>
      <c r="AG36" s="13">
        <f t="shared" si="16"/>
        <v>0.45454545454545453</v>
      </c>
      <c r="AH36" s="12">
        <v>13</v>
      </c>
      <c r="AI36" s="12">
        <v>5</v>
      </c>
      <c r="AJ36" s="13">
        <f t="shared" si="17"/>
        <v>0.38461538461538464</v>
      </c>
      <c r="AK36" s="12">
        <v>9</v>
      </c>
      <c r="AL36" s="12">
        <v>1</v>
      </c>
      <c r="AM36" s="13">
        <f t="shared" si="18"/>
        <v>0.1111111111111111</v>
      </c>
    </row>
    <row r="39" spans="2:39" x14ac:dyDescent="0.5">
      <c r="B39" s="4" t="s">
        <v>131</v>
      </c>
    </row>
    <row r="40" spans="2:39" x14ac:dyDescent="0.5">
      <c r="D40" s="7" t="s">
        <v>9</v>
      </c>
      <c r="E40" s="7" t="s">
        <v>10</v>
      </c>
      <c r="F40" s="7" t="s">
        <v>11</v>
      </c>
      <c r="G40" s="7" t="s">
        <v>13</v>
      </c>
      <c r="H40" s="7" t="s">
        <v>14</v>
      </c>
      <c r="I40" s="7" t="s">
        <v>15</v>
      </c>
      <c r="J40" s="7" t="s">
        <v>16</v>
      </c>
      <c r="K40" s="7" t="s">
        <v>17</v>
      </c>
      <c r="L40" s="7" t="s">
        <v>18</v>
      </c>
      <c r="M40" s="7" t="s">
        <v>19</v>
      </c>
      <c r="N40" s="7" t="s">
        <v>20</v>
      </c>
      <c r="O40" s="7" t="s">
        <v>21</v>
      </c>
      <c r="P40" s="7" t="s">
        <v>22</v>
      </c>
    </row>
    <row r="41" spans="2:39" x14ac:dyDescent="0.5">
      <c r="B41" t="s">
        <v>30</v>
      </c>
      <c r="D41" s="12">
        <v>13</v>
      </c>
      <c r="E41" s="12">
        <v>13</v>
      </c>
      <c r="F41" s="12">
        <v>10</v>
      </c>
      <c r="G41" s="12">
        <v>10</v>
      </c>
      <c r="H41" s="12">
        <v>10</v>
      </c>
      <c r="I41" s="12">
        <v>10</v>
      </c>
      <c r="J41" s="12">
        <v>10</v>
      </c>
      <c r="K41" s="12">
        <v>10</v>
      </c>
      <c r="L41" s="12">
        <v>13</v>
      </c>
      <c r="M41" s="12">
        <v>13</v>
      </c>
      <c r="N41" s="12">
        <v>15</v>
      </c>
      <c r="O41" s="12">
        <v>15</v>
      </c>
      <c r="P41" s="6">
        <f>SUM(D41:O41)</f>
        <v>142</v>
      </c>
    </row>
    <row r="42" spans="2:39" ht="40.200000000000003" customHeight="1" x14ac:dyDescent="0.5">
      <c r="B42" t="s">
        <v>31</v>
      </c>
      <c r="D42" s="22">
        <f>COUNTIFS(顧客データ!$F4:$F1048576,"&gt;=2022/3/1",顧客データ!$F4:$F1048576,"&lt;=2022/3/31")</f>
        <v>23</v>
      </c>
      <c r="E42" s="22">
        <f>COUNTIFS(顧客データ!$F4:$F1048576,"&gt;=2022/4/1",顧客データ!$F4:$F1048576,"&lt;=2022/4/30")</f>
        <v>17</v>
      </c>
      <c r="F42" s="22">
        <f>COUNTIFS(顧客データ!$F4:$F1048576,"&gt;=2022/5/1",顧客データ!$F4:$F1048576,"&lt;=2022/5/31")</f>
        <v>18</v>
      </c>
      <c r="G42" s="22">
        <f>COUNTIFS(顧客データ!$F4:$F1048576,"&gt;=2022/6/1",顧客データ!$F4:$F1048576,"&lt;=2022/6/30")</f>
        <v>8</v>
      </c>
      <c r="H42" s="22">
        <f>COUNTIFS(顧客データ!$F4:$F1048576,"&gt;=2022/7/1",顧客データ!$F4:$F1048576,"&lt;=2022/7/31")</f>
        <v>12</v>
      </c>
      <c r="I42" s="22">
        <f>COUNTIFS(顧客データ!$F4:$F1048576,"&gt;=2022/8/1",顧客データ!$F4:$F1048576,"&lt;=2022/8/31")</f>
        <v>11</v>
      </c>
      <c r="J42" s="22">
        <f>COUNTIFS(顧客データ!$F4:$F1048576,"&gt;=2022/9/1",顧客データ!$F4:$F1048576,"&lt;=2022/9/30")</f>
        <v>14</v>
      </c>
      <c r="K42" s="22">
        <f>COUNTIFS(顧客データ!$F4:$F1048576,"&gt;=2022/10/1",顧客データ!$F4:$F1048576,"&lt;=2022/10/31")</f>
        <v>15</v>
      </c>
      <c r="L42" s="22">
        <f>COUNTIFS(顧客データ!$F4:$F1048576,"&gt;=2022/11/1",顧客データ!$F4:$F1048576,"&lt;=2022/11/30")</f>
        <v>17</v>
      </c>
      <c r="M42" s="22">
        <f>COUNTIFS(顧客データ!$F4:$F1048576,"&gt;=2022/12/1",顧客データ!$F4:$F1048576,"&lt;=2022/12/31")</f>
        <v>9</v>
      </c>
      <c r="N42" s="22">
        <f>COUNTIFS(顧客データ!$F4:$F1048576,"&gt;=2023/1/1",顧客データ!$F4:$F1048576,"&lt;=2023/1/31")</f>
        <v>24</v>
      </c>
      <c r="O42" s="22">
        <f>COUNTIFS(顧客データ!$F4:$F1048576,"&gt;=2023/2/1",顧客データ!$F4:$F1048576,"&lt;=2023/2/28")</f>
        <v>0</v>
      </c>
      <c r="P42" s="22">
        <f>SUM(D42:O42)</f>
        <v>168</v>
      </c>
    </row>
    <row r="43" spans="2:39" x14ac:dyDescent="0.5">
      <c r="B43" t="s">
        <v>41</v>
      </c>
      <c r="D43" s="13">
        <f t="shared" ref="D43:P43" si="19">D42/D41</f>
        <v>1.7692307692307692</v>
      </c>
      <c r="E43" s="13">
        <f t="shared" si="19"/>
        <v>1.3076923076923077</v>
      </c>
      <c r="F43" s="13">
        <f t="shared" si="19"/>
        <v>1.8</v>
      </c>
      <c r="G43" s="13">
        <f t="shared" si="19"/>
        <v>0.8</v>
      </c>
      <c r="H43" s="13">
        <f t="shared" si="19"/>
        <v>1.2</v>
      </c>
      <c r="I43" s="13">
        <f t="shared" si="19"/>
        <v>1.1000000000000001</v>
      </c>
      <c r="J43" s="13">
        <f t="shared" si="19"/>
        <v>1.4</v>
      </c>
      <c r="K43" s="13">
        <f t="shared" si="19"/>
        <v>1.5</v>
      </c>
      <c r="L43" s="13">
        <f t="shared" si="19"/>
        <v>1.3076923076923077</v>
      </c>
      <c r="M43" s="13">
        <f t="shared" si="19"/>
        <v>0.69230769230769229</v>
      </c>
      <c r="N43" s="13">
        <f t="shared" si="19"/>
        <v>1.6</v>
      </c>
      <c r="O43" s="13">
        <f t="shared" si="19"/>
        <v>0</v>
      </c>
      <c r="P43" s="13">
        <f t="shared" si="19"/>
        <v>1.1830985915492958</v>
      </c>
    </row>
    <row r="44" spans="2:39" x14ac:dyDescent="0.5">
      <c r="B44" t="s">
        <v>43</v>
      </c>
      <c r="D44" s="13" t="e">
        <f>D42/D45</f>
        <v>#DIV/0!</v>
      </c>
      <c r="E44" s="13" t="e">
        <f t="shared" ref="E44:P44" si="20">E42/E45</f>
        <v>#DIV/0!</v>
      </c>
      <c r="F44" s="13" t="e">
        <f t="shared" si="20"/>
        <v>#DIV/0!</v>
      </c>
      <c r="G44" s="13" t="e">
        <f t="shared" si="20"/>
        <v>#DIV/0!</v>
      </c>
      <c r="H44" s="13" t="e">
        <f t="shared" si="20"/>
        <v>#DIV/0!</v>
      </c>
      <c r="I44" s="13" t="e">
        <f t="shared" si="20"/>
        <v>#DIV/0!</v>
      </c>
      <c r="J44" s="13" t="e">
        <f t="shared" si="20"/>
        <v>#DIV/0!</v>
      </c>
      <c r="K44" s="13" t="e">
        <f t="shared" si="20"/>
        <v>#DIV/0!</v>
      </c>
      <c r="L44" s="13" t="e">
        <f t="shared" si="20"/>
        <v>#DIV/0!</v>
      </c>
      <c r="M44" s="13" t="e">
        <f t="shared" si="20"/>
        <v>#DIV/0!</v>
      </c>
      <c r="N44" s="13" t="e">
        <f t="shared" si="20"/>
        <v>#DIV/0!</v>
      </c>
      <c r="O44" s="13" t="e">
        <f t="shared" si="20"/>
        <v>#DIV/0!</v>
      </c>
      <c r="P44" s="13" t="e">
        <f t="shared" si="20"/>
        <v>#DIV/0!</v>
      </c>
    </row>
    <row r="45" spans="2:39" x14ac:dyDescent="0.5">
      <c r="C45" t="s">
        <v>34</v>
      </c>
      <c r="D45" s="12"/>
      <c r="E45" s="12"/>
      <c r="F45" s="12"/>
      <c r="G45" s="12"/>
      <c r="H45" s="12"/>
      <c r="I45" s="12"/>
      <c r="J45" s="12"/>
      <c r="K45" s="12"/>
      <c r="L45" s="12"/>
      <c r="M45" s="12"/>
      <c r="N45" s="12"/>
      <c r="O45" s="12"/>
      <c r="P45" s="6">
        <f>SUM(D45:O45)</f>
        <v>0</v>
      </c>
    </row>
    <row r="46" spans="2:39" x14ac:dyDescent="0.5">
      <c r="C46" t="s">
        <v>47</v>
      </c>
      <c r="D46" s="12"/>
      <c r="E46" s="12"/>
      <c r="F46" s="12"/>
      <c r="G46" s="12"/>
      <c r="H46" s="12"/>
      <c r="I46" s="12"/>
      <c r="J46" s="12"/>
      <c r="K46" s="12"/>
      <c r="L46" s="12"/>
      <c r="M46" s="12"/>
      <c r="N46" s="12"/>
      <c r="O46" s="12"/>
      <c r="P46" s="6">
        <f>SUM(D46:O46)</f>
        <v>0</v>
      </c>
    </row>
    <row r="47" spans="2:39" x14ac:dyDescent="0.5">
      <c r="C47" t="s">
        <v>224</v>
      </c>
      <c r="D47" s="12"/>
      <c r="E47" s="12"/>
      <c r="F47" s="12"/>
      <c r="G47" s="12"/>
      <c r="H47" s="12"/>
      <c r="I47" s="12"/>
      <c r="J47" s="12"/>
      <c r="K47" s="12"/>
      <c r="L47" s="12"/>
      <c r="M47" s="12"/>
      <c r="N47" s="12"/>
      <c r="O47" s="12"/>
      <c r="P47" s="6">
        <f t="shared" ref="P47" si="21">SUM(D47:O47)</f>
        <v>0</v>
      </c>
    </row>
    <row r="48" spans="2:39" x14ac:dyDescent="0.5">
      <c r="C48" t="s">
        <v>48</v>
      </c>
      <c r="D48" s="17" t="e">
        <f>AVERAGE(D45:D47)</f>
        <v>#DIV/0!</v>
      </c>
      <c r="E48" s="17" t="e">
        <f t="shared" ref="E48:O48" si="22">AVERAGE(E45:E47)</f>
        <v>#DIV/0!</v>
      </c>
      <c r="F48" s="17" t="e">
        <f t="shared" si="22"/>
        <v>#DIV/0!</v>
      </c>
      <c r="G48" s="17" t="e">
        <f t="shared" si="22"/>
        <v>#DIV/0!</v>
      </c>
      <c r="H48" s="17" t="e">
        <f t="shared" si="22"/>
        <v>#DIV/0!</v>
      </c>
      <c r="I48" s="17" t="e">
        <f t="shared" si="22"/>
        <v>#DIV/0!</v>
      </c>
      <c r="J48" s="17" t="e">
        <f t="shared" si="22"/>
        <v>#DIV/0!</v>
      </c>
      <c r="K48" s="17" t="e">
        <f t="shared" si="22"/>
        <v>#DIV/0!</v>
      </c>
      <c r="L48" s="17" t="e">
        <f t="shared" si="22"/>
        <v>#DIV/0!</v>
      </c>
      <c r="M48" s="17" t="e">
        <f t="shared" si="22"/>
        <v>#DIV/0!</v>
      </c>
      <c r="N48" s="17" t="e">
        <f t="shared" si="22"/>
        <v>#DIV/0!</v>
      </c>
      <c r="O48" s="17" t="e">
        <f t="shared" si="22"/>
        <v>#DIV/0!</v>
      </c>
      <c r="P48" s="17">
        <f>AVERAGE(P45:P47)</f>
        <v>0</v>
      </c>
    </row>
  </sheetData>
  <mergeCells count="18">
    <mergeCell ref="D24:F24"/>
    <mergeCell ref="G24:I24"/>
    <mergeCell ref="J24:L24"/>
    <mergeCell ref="M24:O24"/>
    <mergeCell ref="AK24:AM24"/>
    <mergeCell ref="D2:E2"/>
    <mergeCell ref="F2:G2"/>
    <mergeCell ref="J2:K2"/>
    <mergeCell ref="H2:I2"/>
    <mergeCell ref="D7:P7"/>
    <mergeCell ref="Q7:AC7"/>
    <mergeCell ref="AH24:AJ24"/>
    <mergeCell ref="P24:R24"/>
    <mergeCell ref="S24:U24"/>
    <mergeCell ref="V24:X24"/>
    <mergeCell ref="Y24:AA24"/>
    <mergeCell ref="AB24:AD24"/>
    <mergeCell ref="AE24:AG24"/>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28"/>
  <sheetViews>
    <sheetView zoomScale="80" zoomScaleNormal="80" workbookViewId="0">
      <pane xSplit="3" ySplit="4" topLeftCell="H5" activePane="bottomRight" state="frozen"/>
      <selection pane="topRight" activeCell="D1" sqref="D1"/>
      <selection pane="bottomLeft" activeCell="A5" sqref="A5"/>
      <selection pane="bottomRight" activeCell="N3" sqref="N3"/>
    </sheetView>
  </sheetViews>
  <sheetFormatPr defaultColWidth="10.54296875" defaultRowHeight="19.8" x14ac:dyDescent="0.5"/>
  <cols>
    <col min="2" max="2" width="2.54296875" customWidth="1"/>
    <col min="3" max="3" width="25.453125" customWidth="1"/>
  </cols>
  <sheetData>
    <row r="1" spans="2:18" x14ac:dyDescent="0.5">
      <c r="E1" s="24" t="s">
        <v>709</v>
      </c>
    </row>
    <row r="2" spans="2:18" x14ac:dyDescent="0.5">
      <c r="B2" s="4" t="s">
        <v>129</v>
      </c>
      <c r="C2" s="4"/>
      <c r="E2" s="24"/>
      <c r="K2">
        <v>10</v>
      </c>
      <c r="L2">
        <v>13</v>
      </c>
      <c r="M2">
        <v>14</v>
      </c>
      <c r="N2">
        <v>17</v>
      </c>
    </row>
    <row r="3" spans="2:18" x14ac:dyDescent="0.5">
      <c r="K3">
        <v>16</v>
      </c>
      <c r="L3">
        <v>11</v>
      </c>
      <c r="M3">
        <v>17</v>
      </c>
      <c r="N3">
        <v>30</v>
      </c>
    </row>
    <row r="4" spans="2:18" x14ac:dyDescent="0.5">
      <c r="D4" s="6" t="s">
        <v>9</v>
      </c>
      <c r="E4" s="6" t="s">
        <v>10</v>
      </c>
      <c r="F4" s="6" t="s">
        <v>12</v>
      </c>
      <c r="G4" s="6" t="s">
        <v>13</v>
      </c>
      <c r="H4" s="6" t="s">
        <v>14</v>
      </c>
      <c r="I4" s="6" t="s">
        <v>15</v>
      </c>
      <c r="J4" s="6" t="s">
        <v>16</v>
      </c>
      <c r="K4" s="6" t="s">
        <v>17</v>
      </c>
      <c r="L4" s="6" t="s">
        <v>18</v>
      </c>
      <c r="M4" s="6" t="s">
        <v>19</v>
      </c>
      <c r="N4" s="6" t="s">
        <v>20</v>
      </c>
      <c r="O4" s="6" t="s">
        <v>21</v>
      </c>
      <c r="P4" s="6" t="s">
        <v>22</v>
      </c>
    </row>
    <row r="5" spans="2:18" x14ac:dyDescent="0.5">
      <c r="B5" t="s">
        <v>387</v>
      </c>
    </row>
    <row r="6" spans="2:18" x14ac:dyDescent="0.5">
      <c r="C6" t="s">
        <v>30</v>
      </c>
      <c r="D6" s="32">
        <v>4000</v>
      </c>
      <c r="E6" s="32">
        <v>4200</v>
      </c>
      <c r="F6" s="32">
        <v>4400</v>
      </c>
      <c r="G6" s="32">
        <v>4600</v>
      </c>
      <c r="H6" s="32">
        <v>4800</v>
      </c>
      <c r="I6" s="32">
        <v>5000</v>
      </c>
      <c r="J6" s="32">
        <v>5200</v>
      </c>
      <c r="K6" s="32">
        <v>5400</v>
      </c>
      <c r="L6" s="32">
        <v>5600</v>
      </c>
      <c r="M6" s="32">
        <v>5800</v>
      </c>
      <c r="N6" s="32">
        <v>6000</v>
      </c>
      <c r="O6" s="32">
        <v>6200</v>
      </c>
      <c r="P6" s="29">
        <f>SUM(D6:O6)</f>
        <v>61200</v>
      </c>
      <c r="R6" t="s">
        <v>710</v>
      </c>
    </row>
    <row r="7" spans="2:18" x14ac:dyDescent="0.5">
      <c r="C7" t="s">
        <v>31</v>
      </c>
      <c r="D7" s="28">
        <v>3960</v>
      </c>
      <c r="E7" s="28">
        <v>3424</v>
      </c>
      <c r="F7" s="28">
        <v>2668</v>
      </c>
      <c r="G7" s="28">
        <v>3422</v>
      </c>
      <c r="H7" s="28">
        <v>2799</v>
      </c>
      <c r="I7" s="28">
        <v>2770</v>
      </c>
      <c r="J7" s="28">
        <v>3225</v>
      </c>
      <c r="K7" s="28">
        <v>3461</v>
      </c>
      <c r="L7" s="28">
        <v>3112</v>
      </c>
      <c r="M7" s="28">
        <v>3331</v>
      </c>
      <c r="N7" s="28">
        <v>3576</v>
      </c>
      <c r="O7" s="28"/>
      <c r="P7" s="29">
        <f>SUM(D7:O7)</f>
        <v>35748</v>
      </c>
      <c r="R7" t="s">
        <v>711</v>
      </c>
    </row>
    <row r="8" spans="2:18" x14ac:dyDescent="0.5">
      <c r="C8" t="s">
        <v>41</v>
      </c>
      <c r="D8" s="13">
        <f>D7/D6</f>
        <v>0.99</v>
      </c>
      <c r="E8" s="13">
        <f t="shared" ref="E8:P8" si="0">E7/E6</f>
        <v>0.81523809523809521</v>
      </c>
      <c r="F8" s="13">
        <f t="shared" si="0"/>
        <v>0.60636363636363633</v>
      </c>
      <c r="G8" s="13">
        <f t="shared" si="0"/>
        <v>0.74391304347826082</v>
      </c>
      <c r="H8" s="13">
        <f t="shared" si="0"/>
        <v>0.583125</v>
      </c>
      <c r="I8" s="13">
        <f t="shared" si="0"/>
        <v>0.55400000000000005</v>
      </c>
      <c r="J8" s="13">
        <f t="shared" si="0"/>
        <v>0.62019230769230771</v>
      </c>
      <c r="K8" s="13">
        <f t="shared" si="0"/>
        <v>0.6409259259259259</v>
      </c>
      <c r="L8" s="13">
        <f t="shared" si="0"/>
        <v>0.55571428571428572</v>
      </c>
      <c r="M8" s="13">
        <f t="shared" si="0"/>
        <v>0.57431034482758625</v>
      </c>
      <c r="N8" s="13">
        <f t="shared" si="0"/>
        <v>0.59599999999999997</v>
      </c>
      <c r="O8" s="13">
        <f t="shared" si="0"/>
        <v>0</v>
      </c>
      <c r="P8" s="13">
        <f t="shared" si="0"/>
        <v>0.58411764705882352</v>
      </c>
      <c r="R8" t="s">
        <v>712</v>
      </c>
    </row>
    <row r="9" spans="2:18" x14ac:dyDescent="0.5">
      <c r="B9" s="38" t="s">
        <v>158</v>
      </c>
      <c r="C9" s="38"/>
      <c r="R9" t="s">
        <v>713</v>
      </c>
    </row>
    <row r="10" spans="2:18" x14ac:dyDescent="0.5">
      <c r="C10" t="s">
        <v>30</v>
      </c>
      <c r="D10" s="32">
        <v>15</v>
      </c>
      <c r="E10" s="32">
        <v>15</v>
      </c>
      <c r="F10" s="32">
        <v>17</v>
      </c>
      <c r="G10" s="32">
        <v>17</v>
      </c>
      <c r="H10" s="32">
        <v>17</v>
      </c>
      <c r="I10" s="32">
        <v>17</v>
      </c>
      <c r="J10" s="32">
        <v>17</v>
      </c>
      <c r="K10" s="32">
        <v>17</v>
      </c>
      <c r="L10" s="32">
        <v>18</v>
      </c>
      <c r="M10" s="32">
        <v>18</v>
      </c>
      <c r="N10" s="32">
        <v>18</v>
      </c>
      <c r="O10" s="32">
        <v>19</v>
      </c>
      <c r="P10" s="29">
        <f>SUM(D10:O10)</f>
        <v>205</v>
      </c>
    </row>
    <row r="11" spans="2:18" ht="40.200000000000003" customHeight="1" x14ac:dyDescent="0.5">
      <c r="C11" t="s">
        <v>31</v>
      </c>
      <c r="D11" s="55">
        <v>17</v>
      </c>
      <c r="E11" s="55">
        <v>17</v>
      </c>
      <c r="F11" s="55">
        <v>13</v>
      </c>
      <c r="G11" s="55">
        <v>14</v>
      </c>
      <c r="H11" s="55">
        <v>9</v>
      </c>
      <c r="I11" s="55">
        <v>28</v>
      </c>
      <c r="J11" s="55">
        <v>17</v>
      </c>
      <c r="K11" s="55">
        <v>9</v>
      </c>
      <c r="L11" s="55">
        <v>8</v>
      </c>
      <c r="M11" s="55">
        <v>13</v>
      </c>
      <c r="N11" s="55">
        <v>21</v>
      </c>
      <c r="O11" s="55"/>
      <c r="P11" s="56">
        <f>SUM(D11:O11)</f>
        <v>166</v>
      </c>
    </row>
    <row r="12" spans="2:18" x14ac:dyDescent="0.5">
      <c r="C12" t="s">
        <v>41</v>
      </c>
      <c r="D12" s="13">
        <f>D11/D10</f>
        <v>1.1333333333333333</v>
      </c>
      <c r="E12" s="13">
        <f t="shared" ref="E12" si="1">E11/E10</f>
        <v>1.1333333333333333</v>
      </c>
      <c r="F12" s="13">
        <f t="shared" ref="F12" si="2">F11/F10</f>
        <v>0.76470588235294112</v>
      </c>
      <c r="G12" s="13">
        <f t="shared" ref="G12" si="3">G11/G10</f>
        <v>0.82352941176470584</v>
      </c>
      <c r="H12" s="13">
        <f t="shared" ref="H12" si="4">H11/H10</f>
        <v>0.52941176470588236</v>
      </c>
      <c r="I12" s="13">
        <f t="shared" ref="I12" si="5">I11/I10</f>
        <v>1.6470588235294117</v>
      </c>
      <c r="J12" s="13">
        <f t="shared" ref="J12" si="6">J11/J10</f>
        <v>1</v>
      </c>
      <c r="K12" s="13">
        <f t="shared" ref="K12" si="7">K11/K10</f>
        <v>0.52941176470588236</v>
      </c>
      <c r="L12" s="13">
        <f t="shared" ref="L12" si="8">L11/L10</f>
        <v>0.44444444444444442</v>
      </c>
      <c r="M12" s="13">
        <f t="shared" ref="M12" si="9">M11/M10</f>
        <v>0.72222222222222221</v>
      </c>
      <c r="N12" s="13">
        <f t="shared" ref="N12" si="10">N11/N10</f>
        <v>1.1666666666666667</v>
      </c>
      <c r="O12" s="13">
        <f t="shared" ref="O12" si="11">O11/O10</f>
        <v>0</v>
      </c>
      <c r="P12" s="13">
        <f t="shared" ref="P12" si="12">P11/P10</f>
        <v>0.80975609756097566</v>
      </c>
    </row>
    <row r="13" spans="2:18" x14ac:dyDescent="0.5">
      <c r="B13" t="s">
        <v>389</v>
      </c>
    </row>
    <row r="14" spans="2:18" x14ac:dyDescent="0.5">
      <c r="C14" t="s">
        <v>30</v>
      </c>
      <c r="D14" s="25">
        <f>D10/D6</f>
        <v>3.7499999999999999E-3</v>
      </c>
      <c r="E14" s="25">
        <f t="shared" ref="E14:O14" si="13">E10/E6</f>
        <v>3.5714285714285713E-3</v>
      </c>
      <c r="F14" s="25">
        <f t="shared" si="13"/>
        <v>3.8636363636363638E-3</v>
      </c>
      <c r="G14" s="25">
        <f t="shared" si="13"/>
        <v>3.6956521739130435E-3</v>
      </c>
      <c r="H14" s="25">
        <f t="shared" si="13"/>
        <v>3.5416666666666665E-3</v>
      </c>
      <c r="I14" s="25">
        <f t="shared" si="13"/>
        <v>3.3999999999999998E-3</v>
      </c>
      <c r="J14" s="25">
        <f t="shared" si="13"/>
        <v>3.2692307692307691E-3</v>
      </c>
      <c r="K14" s="25">
        <f t="shared" si="13"/>
        <v>3.1481481481481482E-3</v>
      </c>
      <c r="L14" s="25">
        <f t="shared" si="13"/>
        <v>3.2142857142857142E-3</v>
      </c>
      <c r="M14" s="25">
        <f t="shared" si="13"/>
        <v>3.1034482758620688E-3</v>
      </c>
      <c r="N14" s="25">
        <f t="shared" si="13"/>
        <v>3.0000000000000001E-3</v>
      </c>
      <c r="O14" s="25">
        <f t="shared" si="13"/>
        <v>3.0645161290322582E-3</v>
      </c>
      <c r="P14" s="25">
        <f>P10/P6</f>
        <v>3.3496732026143789E-3</v>
      </c>
    </row>
    <row r="15" spans="2:18" ht="22.2" x14ac:dyDescent="0.5">
      <c r="C15" t="s">
        <v>31</v>
      </c>
      <c r="D15" s="54">
        <f>D11/D7</f>
        <v>4.2929292929292928E-3</v>
      </c>
      <c r="E15" s="54">
        <f t="shared" ref="E15:O15" si="14">E11/E7</f>
        <v>4.9649532710280371E-3</v>
      </c>
      <c r="F15" s="54">
        <f t="shared" si="14"/>
        <v>4.8725637181409294E-3</v>
      </c>
      <c r="G15" s="54">
        <f t="shared" si="14"/>
        <v>4.0911747516072473E-3</v>
      </c>
      <c r="H15" s="54">
        <f t="shared" si="14"/>
        <v>3.2154340836012861E-3</v>
      </c>
      <c r="I15" s="54">
        <f t="shared" si="14"/>
        <v>1.0108303249097473E-2</v>
      </c>
      <c r="J15" s="54">
        <f t="shared" si="14"/>
        <v>5.2713178294573641E-3</v>
      </c>
      <c r="K15" s="54">
        <f t="shared" si="14"/>
        <v>2.6004045073678129E-3</v>
      </c>
      <c r="L15" s="54">
        <f t="shared" si="14"/>
        <v>2.5706940874035988E-3</v>
      </c>
      <c r="M15" s="54">
        <f t="shared" si="14"/>
        <v>3.9027319123386369E-3</v>
      </c>
      <c r="N15" s="54">
        <f t="shared" si="14"/>
        <v>5.8724832214765103E-3</v>
      </c>
      <c r="O15" s="54" t="e">
        <f t="shared" si="14"/>
        <v>#DIV/0!</v>
      </c>
      <c r="P15" s="54">
        <f>P11/P7</f>
        <v>4.6436164260937676E-3</v>
      </c>
    </row>
    <row r="16" spans="2:18" x14ac:dyDescent="0.5">
      <c r="C16" t="s">
        <v>41</v>
      </c>
      <c r="D16" s="13">
        <f>D15/D14</f>
        <v>1.1447811447811449</v>
      </c>
      <c r="E16" s="13">
        <f t="shared" ref="E16" si="15">E15/E14</f>
        <v>1.3901869158878504</v>
      </c>
      <c r="F16" s="13">
        <f t="shared" ref="F16" si="16">F15/F14</f>
        <v>1.2611341388129464</v>
      </c>
      <c r="G16" s="13">
        <f t="shared" ref="G16" si="17">G15/G14</f>
        <v>1.1070237563172551</v>
      </c>
      <c r="H16" s="13">
        <f t="shared" ref="H16" si="18">H15/H14</f>
        <v>0.90788727066389263</v>
      </c>
      <c r="I16" s="13">
        <f t="shared" ref="I16" si="19">I15/I14</f>
        <v>2.9730303673816096</v>
      </c>
      <c r="J16" s="13">
        <f t="shared" ref="J16" si="20">J15/J14</f>
        <v>1.6124031007751938</v>
      </c>
      <c r="K16" s="13">
        <f t="shared" ref="K16" si="21">K15/K14</f>
        <v>0.82601084351683463</v>
      </c>
      <c r="L16" s="13">
        <f t="shared" ref="L16" si="22">L15/L14</f>
        <v>0.79977149385889745</v>
      </c>
      <c r="M16" s="13">
        <f t="shared" ref="M16" si="23">M15/M14</f>
        <v>1.2575469495313387</v>
      </c>
      <c r="N16" s="13">
        <f t="shared" ref="N16" si="24">N15/N14</f>
        <v>1.9574944071588367</v>
      </c>
      <c r="O16" s="13" t="e">
        <f t="shared" ref="O16:P16" si="25">O15/O14</f>
        <v>#DIV/0!</v>
      </c>
      <c r="P16" s="13">
        <f t="shared" si="25"/>
        <v>1.3862893915948225</v>
      </c>
    </row>
    <row r="17" spans="2:16" x14ac:dyDescent="0.5">
      <c r="B17" s="38" t="s">
        <v>132</v>
      </c>
      <c r="C17" s="38"/>
    </row>
    <row r="18" spans="2:16" x14ac:dyDescent="0.5">
      <c r="C18" t="s">
        <v>30</v>
      </c>
      <c r="D18" s="32">
        <v>23</v>
      </c>
      <c r="E18" s="32">
        <v>23</v>
      </c>
      <c r="F18" s="32">
        <v>23</v>
      </c>
      <c r="G18" s="32">
        <v>25</v>
      </c>
      <c r="H18" s="32">
        <v>25</v>
      </c>
      <c r="I18" s="32">
        <v>27</v>
      </c>
      <c r="J18" s="32">
        <v>30</v>
      </c>
      <c r="K18" s="32">
        <v>30</v>
      </c>
      <c r="L18" s="32">
        <v>30</v>
      </c>
      <c r="M18" s="32">
        <v>32</v>
      </c>
      <c r="N18" s="32">
        <v>32</v>
      </c>
      <c r="O18" s="32">
        <v>32</v>
      </c>
      <c r="P18" s="29">
        <f>SUM(D18:O18)</f>
        <v>332</v>
      </c>
    </row>
    <row r="19" spans="2:16" ht="40.200000000000003" customHeight="1" x14ac:dyDescent="0.5">
      <c r="C19" t="s">
        <v>31</v>
      </c>
      <c r="D19" s="30">
        <v>29</v>
      </c>
      <c r="E19" s="30">
        <v>17</v>
      </c>
      <c r="F19" s="30">
        <v>20</v>
      </c>
      <c r="G19" s="30">
        <v>20</v>
      </c>
      <c r="H19" s="30">
        <v>10</v>
      </c>
      <c r="I19" s="30">
        <v>48</v>
      </c>
      <c r="J19" s="30">
        <v>64</v>
      </c>
      <c r="K19" s="30">
        <v>54</v>
      </c>
      <c r="L19" s="30">
        <v>15</v>
      </c>
      <c r="M19" s="30">
        <v>26</v>
      </c>
      <c r="N19" s="30">
        <v>43</v>
      </c>
      <c r="O19" s="30"/>
      <c r="P19" s="31">
        <f>SUM(D19:O19)</f>
        <v>346</v>
      </c>
    </row>
    <row r="20" spans="2:16" x14ac:dyDescent="0.5">
      <c r="C20" t="s">
        <v>41</v>
      </c>
      <c r="D20" s="13">
        <f>D19/D18</f>
        <v>1.2608695652173914</v>
      </c>
      <c r="E20" s="13">
        <f t="shared" ref="E20" si="26">E19/E18</f>
        <v>0.73913043478260865</v>
      </c>
      <c r="F20" s="13">
        <f t="shared" ref="F20" si="27">F19/F18</f>
        <v>0.86956521739130432</v>
      </c>
      <c r="G20" s="13">
        <f t="shared" ref="G20" si="28">G19/G18</f>
        <v>0.8</v>
      </c>
      <c r="H20" s="13">
        <f t="shared" ref="H20" si="29">H19/H18</f>
        <v>0.4</v>
      </c>
      <c r="I20" s="13">
        <f t="shared" ref="I20" si="30">I19/I18</f>
        <v>1.7777777777777777</v>
      </c>
      <c r="J20" s="13">
        <f t="shared" ref="J20" si="31">J19/J18</f>
        <v>2.1333333333333333</v>
      </c>
      <c r="K20" s="13">
        <f t="shared" ref="K20" si="32">K19/K18</f>
        <v>1.8</v>
      </c>
      <c r="L20" s="13">
        <f t="shared" ref="L20" si="33">L19/L18</f>
        <v>0.5</v>
      </c>
      <c r="M20" s="13">
        <f t="shared" ref="M20" si="34">M19/M18</f>
        <v>0.8125</v>
      </c>
      <c r="N20" s="13">
        <f t="shared" ref="N20" si="35">N19/N18</f>
        <v>1.34375</v>
      </c>
      <c r="O20" s="13">
        <f t="shared" ref="O20" si="36">O19/O18</f>
        <v>0</v>
      </c>
      <c r="P20" s="13">
        <f t="shared" ref="P20" si="37">P19/P18</f>
        <v>1.0421686746987953</v>
      </c>
    </row>
    <row r="21" spans="2:16" x14ac:dyDescent="0.5">
      <c r="B21" t="s">
        <v>388</v>
      </c>
    </row>
    <row r="22" spans="2:16" x14ac:dyDescent="0.5">
      <c r="C22" t="s">
        <v>30</v>
      </c>
      <c r="D22" s="26">
        <f>D18/D6</f>
        <v>5.7499999999999999E-3</v>
      </c>
      <c r="E22" s="26">
        <f t="shared" ref="E22:P22" si="38">E18/E6</f>
        <v>5.4761904761904765E-3</v>
      </c>
      <c r="F22" s="26">
        <f t="shared" si="38"/>
        <v>5.2272727272727271E-3</v>
      </c>
      <c r="G22" s="26">
        <f t="shared" si="38"/>
        <v>5.434782608695652E-3</v>
      </c>
      <c r="H22" s="26">
        <f t="shared" si="38"/>
        <v>5.208333333333333E-3</v>
      </c>
      <c r="I22" s="26">
        <f t="shared" si="38"/>
        <v>5.4000000000000003E-3</v>
      </c>
      <c r="J22" s="26">
        <f t="shared" si="38"/>
        <v>5.7692307692307696E-3</v>
      </c>
      <c r="K22" s="26">
        <f t="shared" si="38"/>
        <v>5.5555555555555558E-3</v>
      </c>
      <c r="L22" s="26">
        <f t="shared" si="38"/>
        <v>5.3571428571428572E-3</v>
      </c>
      <c r="M22" s="26">
        <f t="shared" si="38"/>
        <v>5.5172413793103444E-3</v>
      </c>
      <c r="N22" s="26">
        <f t="shared" si="38"/>
        <v>5.3333333333333332E-3</v>
      </c>
      <c r="O22" s="26">
        <f t="shared" si="38"/>
        <v>5.1612903225806452E-3</v>
      </c>
      <c r="P22" s="26">
        <f t="shared" si="38"/>
        <v>5.4248366013071895E-3</v>
      </c>
    </row>
    <row r="23" spans="2:16" x14ac:dyDescent="0.5">
      <c r="C23" t="s">
        <v>31</v>
      </c>
      <c r="D23" s="25">
        <f>D19/D7</f>
        <v>7.3232323232323236E-3</v>
      </c>
      <c r="E23" s="25">
        <f t="shared" ref="E23:O23" si="39">E19/E7</f>
        <v>4.9649532710280371E-3</v>
      </c>
      <c r="F23" s="25">
        <f t="shared" si="39"/>
        <v>7.4962518740629685E-3</v>
      </c>
      <c r="G23" s="25">
        <f t="shared" si="39"/>
        <v>5.8445353594389245E-3</v>
      </c>
      <c r="H23" s="25">
        <f t="shared" si="39"/>
        <v>3.5727045373347625E-3</v>
      </c>
      <c r="I23" s="25">
        <f t="shared" si="39"/>
        <v>1.7328519855595668E-2</v>
      </c>
      <c r="J23" s="25">
        <f t="shared" si="39"/>
        <v>1.9844961240310079E-2</v>
      </c>
      <c r="K23" s="25">
        <f t="shared" si="39"/>
        <v>1.5602427044206876E-2</v>
      </c>
      <c r="L23" s="25">
        <f t="shared" si="39"/>
        <v>4.820051413881748E-3</v>
      </c>
      <c r="M23" s="25">
        <f t="shared" si="39"/>
        <v>7.8054638246772738E-3</v>
      </c>
      <c r="N23" s="25">
        <f t="shared" si="39"/>
        <v>1.2024608501118568E-2</v>
      </c>
      <c r="O23" s="25" t="e">
        <f t="shared" si="39"/>
        <v>#DIV/0!</v>
      </c>
      <c r="P23" s="25">
        <f>P19/P7</f>
        <v>9.6788631531833941E-3</v>
      </c>
    </row>
    <row r="24" spans="2:16" x14ac:dyDescent="0.5">
      <c r="C24" t="s">
        <v>41</v>
      </c>
      <c r="D24" s="13">
        <f>D23/D22</f>
        <v>1.2736056214317084</v>
      </c>
      <c r="E24" s="13">
        <f t="shared" ref="E24" si="40">E23/E22</f>
        <v>0.90664364079642412</v>
      </c>
      <c r="F24" s="13">
        <f t="shared" ref="F24" si="41">F23/F22</f>
        <v>1.4340655759076983</v>
      </c>
      <c r="G24" s="13">
        <f t="shared" ref="G24" si="42">G23/G22</f>
        <v>1.0753945061367622</v>
      </c>
      <c r="H24" s="13">
        <f t="shared" ref="H24" si="43">H23/H22</f>
        <v>0.68595927116827449</v>
      </c>
      <c r="I24" s="13">
        <f t="shared" ref="I24" si="44">I23/I22</f>
        <v>3.208985158443642</v>
      </c>
      <c r="J24" s="13">
        <f t="shared" ref="J24" si="45">J23/J22</f>
        <v>3.4397932816537469</v>
      </c>
      <c r="K24" s="13">
        <f t="shared" ref="K24" si="46">K23/K22</f>
        <v>2.8084368679572376</v>
      </c>
      <c r="L24" s="13">
        <f t="shared" ref="L24" si="47">L23/L22</f>
        <v>0.89974293059125965</v>
      </c>
      <c r="M24" s="13">
        <f t="shared" ref="M24" si="48">M23/M22</f>
        <v>1.414740318222756</v>
      </c>
      <c r="N24" s="13">
        <f t="shared" ref="N24" si="49">N23/N22</f>
        <v>2.2546140939597317</v>
      </c>
      <c r="O24" s="13" t="e">
        <f t="shared" ref="O24" si="50">O23/O22</f>
        <v>#DIV/0!</v>
      </c>
      <c r="P24" s="27">
        <f>P23/P22</f>
        <v>1.7841759788398306</v>
      </c>
    </row>
    <row r="28" spans="2:16" x14ac:dyDescent="0.5">
      <c r="B28" s="4"/>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Y79"/>
  <sheetViews>
    <sheetView zoomScaleNormal="100" workbookViewId="0">
      <pane xSplit="2" topLeftCell="BF1" activePane="topRight" state="frozen"/>
      <selection pane="topRight" activeCell="D24" sqref="D24"/>
    </sheetView>
  </sheetViews>
  <sheetFormatPr defaultColWidth="10.54296875" defaultRowHeight="19.8" x14ac:dyDescent="0.5"/>
  <cols>
    <col min="1" max="1" width="3.54296875" customWidth="1"/>
    <col min="2" max="2" width="9.54296875" customWidth="1"/>
    <col min="3" max="77" width="7.54296875" customWidth="1"/>
  </cols>
  <sheetData>
    <row r="2" spans="2:77" x14ac:dyDescent="0.5">
      <c r="B2" s="4" t="s">
        <v>93</v>
      </c>
    </row>
    <row r="3" spans="2:77" s="4" customFormat="1" x14ac:dyDescent="0.5">
      <c r="B3" s="4" t="s">
        <v>22</v>
      </c>
      <c r="I3" s="4" t="s">
        <v>159</v>
      </c>
      <c r="P3" s="4" t="s">
        <v>160</v>
      </c>
      <c r="W3" s="4" t="s">
        <v>162</v>
      </c>
      <c r="AD3" s="4" t="s">
        <v>161</v>
      </c>
      <c r="AK3" s="4" t="s">
        <v>73</v>
      </c>
      <c r="AR3" s="4" t="s">
        <v>28</v>
      </c>
      <c r="AY3" s="4" t="s">
        <v>5</v>
      </c>
      <c r="BF3" s="4" t="s">
        <v>6</v>
      </c>
      <c r="BM3" s="4" t="s">
        <v>75</v>
      </c>
      <c r="BT3" s="4" t="s">
        <v>76</v>
      </c>
    </row>
    <row r="4" spans="2:77" x14ac:dyDescent="0.5">
      <c r="C4" s="1" t="s">
        <v>26</v>
      </c>
      <c r="D4" s="1" t="s">
        <v>7</v>
      </c>
      <c r="E4" s="1" t="s">
        <v>24</v>
      </c>
      <c r="F4" s="1" t="s">
        <v>8</v>
      </c>
      <c r="G4" s="1" t="s">
        <v>23</v>
      </c>
      <c r="J4" s="1" t="s">
        <v>26</v>
      </c>
      <c r="K4" s="1" t="s">
        <v>7</v>
      </c>
      <c r="L4" s="1" t="s">
        <v>24</v>
      </c>
      <c r="M4" s="1" t="s">
        <v>8</v>
      </c>
      <c r="N4" s="1" t="s">
        <v>23</v>
      </c>
      <c r="Q4" s="1" t="s">
        <v>26</v>
      </c>
      <c r="R4" s="1" t="s">
        <v>7</v>
      </c>
      <c r="S4" s="1" t="s">
        <v>24</v>
      </c>
      <c r="T4" s="1" t="s">
        <v>8</v>
      </c>
      <c r="U4" s="1" t="s">
        <v>23</v>
      </c>
      <c r="X4" s="1" t="s">
        <v>26</v>
      </c>
      <c r="Y4" s="1" t="s">
        <v>7</v>
      </c>
      <c r="Z4" s="1" t="s">
        <v>24</v>
      </c>
      <c r="AA4" s="1" t="s">
        <v>8</v>
      </c>
      <c r="AB4" s="1" t="s">
        <v>23</v>
      </c>
      <c r="AE4" s="1" t="s">
        <v>26</v>
      </c>
      <c r="AF4" s="1" t="s">
        <v>7</v>
      </c>
      <c r="AG4" s="1" t="s">
        <v>24</v>
      </c>
      <c r="AH4" s="1" t="s">
        <v>8</v>
      </c>
      <c r="AI4" s="1" t="s">
        <v>23</v>
      </c>
      <c r="AL4" s="1" t="s">
        <v>26</v>
      </c>
      <c r="AM4" s="1" t="s">
        <v>7</v>
      </c>
      <c r="AN4" s="1" t="s">
        <v>24</v>
      </c>
      <c r="AO4" s="1" t="s">
        <v>8</v>
      </c>
      <c r="AP4" s="1" t="s">
        <v>23</v>
      </c>
      <c r="AS4" s="1" t="s">
        <v>26</v>
      </c>
      <c r="AT4" s="1" t="s">
        <v>7</v>
      </c>
      <c r="AU4" s="1" t="s">
        <v>24</v>
      </c>
      <c r="AV4" s="1" t="s">
        <v>8</v>
      </c>
      <c r="AW4" s="1" t="s">
        <v>23</v>
      </c>
      <c r="AZ4" s="1" t="s">
        <v>26</v>
      </c>
      <c r="BA4" s="1" t="s">
        <v>7</v>
      </c>
      <c r="BB4" s="1" t="s">
        <v>24</v>
      </c>
      <c r="BC4" s="1" t="s">
        <v>8</v>
      </c>
      <c r="BD4" s="1" t="s">
        <v>23</v>
      </c>
      <c r="BG4" s="1" t="s">
        <v>26</v>
      </c>
      <c r="BH4" s="1" t="s">
        <v>7</v>
      </c>
      <c r="BI4" s="1" t="s">
        <v>24</v>
      </c>
      <c r="BJ4" s="1" t="s">
        <v>8</v>
      </c>
      <c r="BK4" s="1" t="s">
        <v>23</v>
      </c>
      <c r="BN4" s="1" t="s">
        <v>26</v>
      </c>
      <c r="BO4" s="1" t="s">
        <v>7</v>
      </c>
      <c r="BP4" s="1" t="s">
        <v>24</v>
      </c>
      <c r="BQ4" s="1" t="s">
        <v>8</v>
      </c>
      <c r="BR4" s="1" t="s">
        <v>23</v>
      </c>
      <c r="BU4" s="1" t="s">
        <v>26</v>
      </c>
      <c r="BV4" s="1" t="s">
        <v>7</v>
      </c>
      <c r="BW4" s="1" t="s">
        <v>24</v>
      </c>
      <c r="BX4" s="1" t="s">
        <v>8</v>
      </c>
      <c r="BY4" s="1" t="s">
        <v>23</v>
      </c>
    </row>
    <row r="5" spans="2:77" x14ac:dyDescent="0.5">
      <c r="B5" t="s">
        <v>9</v>
      </c>
      <c r="C5" s="2">
        <f>J5+Q5+X5+AE5+AL5+AS5+AZ5+BG5+BN5+BU5</f>
        <v>23</v>
      </c>
      <c r="D5" s="2">
        <f>K5+R5+Y5+AF5+AM5+AT5+BA5+BH5+BO5+BV5</f>
        <v>17</v>
      </c>
      <c r="E5" s="35">
        <f>D5/C5</f>
        <v>0.73913043478260865</v>
      </c>
      <c r="F5" s="2">
        <f>M5+T5+AA5+AH5+AO5+AV5+BC5+BJ5+BQ5+BX5</f>
        <v>8</v>
      </c>
      <c r="G5" s="35">
        <f>F5/D5</f>
        <v>0.47058823529411764</v>
      </c>
      <c r="I5" t="s">
        <v>9</v>
      </c>
      <c r="J5" s="2">
        <f>COUNTIFS(顧客データ!$F$4:$F$1048576,"&gt;=2022/3/1",顧客データ!$F$4:$F$1048576,"&lt;=2022/3/31",顧客データ!$G$4:$G$1048576,"=自社HP",顧客データ!$H$4:$H$1048576,"=フェア")+COUNTIFS(顧客データ!$F$4:$F$1048576,"&gt;=2022/3/1",顧客データ!$F$4:$F$1048576,"&lt;=2022/3/31",顧客データ!$G$4:$G$1048576,"=自社HP",顧客データ!$H$4:$H$1048576,"=見学")</f>
        <v>6</v>
      </c>
      <c r="K5" s="2">
        <f>COUNTIFS(顧客データ!$F$4:$F$1048576,"&gt;=2022/3/1",顧客データ!$F$4:$F$1048576,"&lt;=2022/3/31",顧客データ!$G$4:$G$1048576,"=自社HP",顧客データ!$H$4:$H$1048576,"=フェア",顧客データ!$J$4:$J$1048576,"&gt;=2022/3/1")+COUNTIFS(顧客データ!$F$4:$F$1048576,"&gt;=2022/3/1",顧客データ!$F$4:$F$1048576,"&lt;=2022/3/31",顧客データ!$G$4:$G$1048576,"=自社HP",顧客データ!$H$4:$H$1048576,"=見学",顧客データ!$J$4:$J$1048576,"&gt;=2022/3/1")</f>
        <v>6</v>
      </c>
      <c r="L5" s="35">
        <f>K5/J5</f>
        <v>1</v>
      </c>
      <c r="M5" s="2">
        <f>COUNTIFS(顧客データ!$F$4:$F$1048576,"&gt;=2022/3/1",顧客データ!$F$4:$F$1048576,"&lt;=2022/3/31",顧客データ!$G$4:$G$1048576,"=自社HP",顧客データ!$H$4:$H$1048576,"=フェア",顧客データ!$D$4:$D$1048576,"=*成約*")+COUNTIFS(顧客データ!$F$4:$F$1048576,"&gt;=2022/3/1",顧客データ!$F$4:$F$1048576,"&lt;=2022/3/31",顧客データ!$G$4:$G$1048576,"=自社HP",顧客データ!$H$4:$H$1048576,"=見学",顧客データ!$D$4:$D$1048576,"=*成約*")</f>
        <v>3</v>
      </c>
      <c r="N5" s="35">
        <f>M5/K5</f>
        <v>0.5</v>
      </c>
      <c r="P5" t="s">
        <v>9</v>
      </c>
      <c r="Q5" s="2">
        <f>COUNTIFS(顧客データ!$F$4:$F$1048576,"&gt;=2022/3/1",顧客データ!$F$4:$F$1048576,"&lt;=2022/3/31",顧客データ!$G$4:$G$1048576,"=自社HP",顧客データ!$H$4:$H$1048576,"=資料請求")</f>
        <v>5</v>
      </c>
      <c r="R5" s="2">
        <f>COUNTIFS(顧客データ!$F$4:$F$1048576,"&gt;=2022/3/1",顧客データ!$F$4:$F$1048576,"&lt;=2022/3/31",顧客データ!$G$4:$G$1048576,"=自社HP",顧客データ!$H$4:$H$1048576,"=資料請求",顧客データ!$J$4:$J$1048576,"&gt;=2022/3/1")</f>
        <v>2</v>
      </c>
      <c r="S5" s="35">
        <f>R5/Q5</f>
        <v>0.4</v>
      </c>
      <c r="T5" s="2">
        <f>COUNTIFS(顧客データ!$F$4:$F$1048576,"&gt;=2022/3/1",顧客データ!$F$4:$F$1048576,"&lt;=2022/3/31",顧客データ!$G$4:$G$1048576,"=自社HP",顧客データ!$H$4:$H$1048576,"=資料請求",顧客データ!$D$4:$D$1048576,"=*成約*")</f>
        <v>2</v>
      </c>
      <c r="U5" s="35">
        <f>T5/R5</f>
        <v>1</v>
      </c>
      <c r="W5" t="s">
        <v>9</v>
      </c>
      <c r="X5" s="2">
        <f>COUNTIFS(顧客データ!$F$4:$F$1048576,"&gt;=2022/3/1",顧客データ!$F$4:$F$1048576,"&lt;=2022/3/31",顧客データ!$G$4:$G$1048576,"=直TEL",顧客データ!$H$4:$H$1048576,"=フェア")+COUNTIFS(顧客データ!$F$4:$F$1048576,"&gt;=2022/3/1",顧客データ!$F$4:$F$1048576,"&lt;=2022/3/31",顧客データ!$G$4:$G$1048576,"=直TEL",顧客データ!$H$4:$H$1048576,"=見学")</f>
        <v>2</v>
      </c>
      <c r="Y5" s="2">
        <f>COUNTIFS(顧客データ!$F$4:$F$1048576,"&gt;=2022/3/1",顧客データ!$F$4:$F$1048576,"&lt;=2022/3/31",顧客データ!$G$4:$G$1048576,"=直TEL",顧客データ!$H$4:$H$1048576,"=フェア",顧客データ!$J$4:$J$1048576,"&gt;=2022/3/1")+COUNTIFS(顧客データ!$F$4:$F$1048576,"&gt;=2022/3/1",顧客データ!$F$4:$F$1048576,"&lt;=2022/3/31",顧客データ!$G$4:$G$1048576,"=直TEL",顧客データ!$H$4:$H$1048576,"=見学",顧客データ!$J$4:$J$1048576,"&gt;=2022/3/1")</f>
        <v>2</v>
      </c>
      <c r="Z5" s="35">
        <f>Y5/X5</f>
        <v>1</v>
      </c>
      <c r="AA5" s="2">
        <f>COUNTIFS(顧客データ!$F$4:$F$1048576,"&gt;=2022/3/1",顧客データ!$F$4:$F$1048576,"&lt;=2022/3/31",顧客データ!$G$4:$G$1048576,"=直TEL",顧客データ!$H$4:$H$1048576,"=フェア",顧客データ!$D$4:$D$1048576,"=*成約*")+COUNTIFS(顧客データ!$F$4:$F$1048576,"&gt;=2022/3/1",顧客データ!$F$4:$F$1048576,"&lt;=2022/3/31",顧客データ!$G$4:$G$1048576,"=直TEL",顧客データ!$H$4:$H$1048576,"=見学",顧客データ!$D$4:$D$1048576,"=*成約*")</f>
        <v>1</v>
      </c>
      <c r="AB5" s="35">
        <f>AA5/Y5</f>
        <v>0.5</v>
      </c>
      <c r="AD5" t="s">
        <v>9</v>
      </c>
      <c r="AE5" s="2">
        <f>COUNTIFS(顧客データ!$F$4:$F$1048576,"&gt;=2022/3/1",顧客データ!$F$4:$F$1048576,"&lt;=2022/3/31",顧客データ!$G$4:$G$1048576,"=直TEL",顧客データ!$H$4:$H$1048576,"=資料請求")</f>
        <v>0</v>
      </c>
      <c r="AF5" s="2">
        <f>COUNTIFS(顧客データ!$F$4:$F$1048576,"&gt;=2022/3/1",顧客データ!$F$4:$F$1048576,"&lt;=2022/3/31",顧客データ!$G$4:$G$1048576,"=直TEL",顧客データ!$H$4:$H$1048576,"=資料請求",顧客データ!$J$4:$J$1048576,"&gt;=2022/3/1")</f>
        <v>0</v>
      </c>
      <c r="AG5" s="35" t="e">
        <f>AF5/AE5</f>
        <v>#DIV/0!</v>
      </c>
      <c r="AH5" s="2">
        <f>COUNTIFS(顧客データ!$F$4:$F$1048576,"&gt;=2022/3/1",顧客データ!$F$4:$F$1048576,"&lt;=2022/3/31",顧客データ!$G$4:$G$1048576,"=直TEL",顧客データ!$H$4:$H$1048576,"=資料請求",顧客データ!$D$4:$D$1048576,"=*成約*")</f>
        <v>0</v>
      </c>
      <c r="AI5" s="35" t="e">
        <f>AH5/AF5</f>
        <v>#DIV/0!</v>
      </c>
      <c r="AK5" t="s">
        <v>9</v>
      </c>
      <c r="AL5" s="2">
        <f>COUNTIFS(顧客データ!$F$4:$F$1048576,"&gt;=2022/3/1",顧客データ!$F$4:$F$1048576,"&lt;=2022/3/31",顧客データ!$G$4:$G$1048576,"=取引業者紹介")</f>
        <v>2</v>
      </c>
      <c r="AM5" s="2">
        <f>COUNTIFS(顧客データ!$F$4:$F$1048576,"&gt;=2022/3/1",顧客データ!$F$4:$F$1048576,"&lt;=2022/3/31",顧客データ!$G$4:$G$1048576,"=取引業者紹介",顧客データ!$J$4:$J$1048576,"&gt;=2022/3/1")</f>
        <v>2</v>
      </c>
      <c r="AN5" s="35">
        <f>AM5/AL5</f>
        <v>1</v>
      </c>
      <c r="AO5" s="2">
        <f>COUNTIFS(顧客データ!$F$4:$F$1048576,"&gt;=2022/3/1",顧客データ!$F$4:$F$1048576,"&lt;=2022/3/31",顧客データ!$G$4:$G$1048576,"=取引業者紹介",顧客データ!$D$4:$D$1048576,"=*成約*")</f>
        <v>0</v>
      </c>
      <c r="AP5" s="35">
        <f>AO5/AM5</f>
        <v>0</v>
      </c>
      <c r="AR5" t="s">
        <v>9</v>
      </c>
      <c r="AS5" s="2">
        <f>COUNTIFS(顧客データ!$F$4:$F$1048576,"&gt;=2022/3/1",顧客データ!$F$4:$F$1048576,"&lt;=2022/3/31",顧客データ!$G$4:$G$1048576,"=みんウエ")</f>
        <v>5</v>
      </c>
      <c r="AT5" s="2">
        <f>COUNTIFS(顧客データ!$F$4:$F$1048576,"&gt;=2022/3/1",顧客データ!$F$4:$F$1048576,"&lt;=2022/3/31",顧客データ!$G$4:$G$1048576,"=みんウエ",顧客データ!$J$4:$J$1048576,"&gt;=2022/3/1")</f>
        <v>2</v>
      </c>
      <c r="AU5" s="35">
        <f>AT5/AS5</f>
        <v>0.4</v>
      </c>
      <c r="AV5" s="2">
        <f>COUNTIFS(顧客データ!$F$4:$F$1048576,"&gt;=2022/3/1",顧客データ!$F$4:$F$1048576,"&lt;=2022/3/31",顧客データ!$G$4:$G$1048576,"=みんウエ",顧客データ!$D$4:$D$1048576,"=*成約*")</f>
        <v>1</v>
      </c>
      <c r="AW5" s="35">
        <f>AV5/AT5</f>
        <v>0.5</v>
      </c>
      <c r="AY5" t="s">
        <v>9</v>
      </c>
      <c r="AZ5" s="2">
        <f>COUNTIFS(顧客データ!$F$4:$F$1048576,"&gt;=2022/3/1",顧客データ!$F$4:$F$1048576,"&lt;=2022/3/31",顧客データ!$G$4:$G$1048576,"=小さな結婚式")</f>
        <v>1</v>
      </c>
      <c r="BA5" s="2">
        <f>COUNTIFS(顧客データ!$F$4:$F$1048576,"&gt;=2022/3/1",顧客データ!$F$4:$F$1048576,"&lt;=2022/3/31",顧客データ!$G$4:$G$1048576,"=小さな結婚式",顧客データ!$J$4:$J$1048576,"&gt;=2022/3/1")</f>
        <v>1</v>
      </c>
      <c r="BB5" s="35">
        <f>BA5/AZ5</f>
        <v>1</v>
      </c>
      <c r="BC5" s="2">
        <f>COUNTIFS(顧客データ!$F$4:$F$1048576,"&gt;=2022/3/1",顧客データ!$F$4:$F$1048576,"&lt;=2022/3/31",顧客データ!$G$4:$G$1048576,"=小さな結婚式",顧客データ!$D$4:$D$1048576,"=*成約*")</f>
        <v>1</v>
      </c>
      <c r="BD5" s="35">
        <f>BC5/BA5</f>
        <v>1</v>
      </c>
      <c r="BF5" t="s">
        <v>9</v>
      </c>
      <c r="BG5" s="2">
        <f>COUNTIFS(顧客データ!$F$4:$F$1048576,"&gt;=2022/3/1",顧客データ!$F$4:$F$1048576,"&lt;=2022/3/31",顧客データ!$G$4:$G$1048576,"=ブラスポ")</f>
        <v>0</v>
      </c>
      <c r="BH5" s="2">
        <f>COUNTIFS(顧客データ!$F$4:$F$1048576,"&gt;=2022/3/1",顧客データ!$F$4:$F$1048576,"&lt;=2022/3/31",顧客データ!$G$4:$G$1048576,"=ブラスポ",顧客データ!$J$4:$J$1048576,"&gt;=2022/3/1")</f>
        <v>0</v>
      </c>
      <c r="BI5" s="35" t="e">
        <f>BH5/BG5</f>
        <v>#DIV/0!</v>
      </c>
      <c r="BJ5" s="2">
        <f>COUNTIFS(顧客データ!$F$4:$F$1048576,"&gt;=2022/3/1",顧客データ!$F$4:$F$1048576,"&lt;=2022/3/31",顧客データ!$G$4:$G$1048576,"=ブラスポ",顧客データ!$D$4:$D$1048576,"=*成約*")</f>
        <v>0</v>
      </c>
      <c r="BK5" s="35" t="e">
        <f>BJ5/BH5</f>
        <v>#DIV/0!</v>
      </c>
      <c r="BM5" t="s">
        <v>9</v>
      </c>
      <c r="BN5" s="2">
        <f>COUNTIFS(顧客データ!$F$4:$F$1048576,"&gt;=2022/3/1",顧客データ!$F$4:$F$1048576,"&lt;=2022/3/31",顧客データ!$G$4:$G$1048576,"=ゼクナビ")</f>
        <v>1</v>
      </c>
      <c r="BO5" s="2">
        <f>COUNTIFS(顧客データ!$F$4:$F$1048576,"&gt;=2022/3/1",顧客データ!$F$4:$F$1048576,"&lt;=2022/3/31",顧客データ!$G$4:$G$1048576,"=ゼクナビ",顧客データ!$J$4:$J$1048576,"&gt;=2022/3/1")</f>
        <v>1</v>
      </c>
      <c r="BP5" s="35">
        <f>BO5/BN5</f>
        <v>1</v>
      </c>
      <c r="BQ5" s="2">
        <f>COUNTIFS(顧客データ!$F$4:$F$1048576,"&gt;=2022/3/1",顧客データ!$F$4:$F$1048576,"&lt;=2022/3/31",顧客データ!$G$4:$G$1048576,"=ゼクナビ",顧客データ!$D$4:$D$1048576,"=*成約*")</f>
        <v>0</v>
      </c>
      <c r="BR5" s="35">
        <f>BQ5/BO5</f>
        <v>0</v>
      </c>
      <c r="BT5" t="s">
        <v>9</v>
      </c>
      <c r="BU5" s="2">
        <f>COUNTIFS(顧客データ!$F$4:$F$1048576,"&gt;=2022/3/1",顧客データ!$F$4:$F$1048576,"&lt;=2022/3/31",顧客データ!$G$4:$G$1048576,"=その他")</f>
        <v>1</v>
      </c>
      <c r="BV5" s="2">
        <f>COUNTIFS(顧客データ!$F$4:$F$1048576,"&gt;=2022/3/1",顧客データ!$F$4:$F$1048576,"&lt;=2022/3/31",顧客データ!$G$4:$G$1048576,"=その他",顧客データ!$J$4:$J$1048576,"&gt;=2022/3/1")</f>
        <v>1</v>
      </c>
      <c r="BW5" s="35">
        <f>BV5/BU5</f>
        <v>1</v>
      </c>
      <c r="BX5" s="2">
        <f>COUNTIFS(顧客データ!$F$4:$F$1048576,"&gt;=2022/3/1",顧客データ!$F$4:$F$1048576,"&lt;=2022/3/31",顧客データ!$G$4:$G$1048576,"=その他",顧客データ!$D$4:$D$1048576,"=*成約*")</f>
        <v>0</v>
      </c>
      <c r="BY5" s="35">
        <f>BX5/BV5</f>
        <v>0</v>
      </c>
    </row>
    <row r="6" spans="2:77" x14ac:dyDescent="0.5">
      <c r="B6" t="s">
        <v>10</v>
      </c>
      <c r="C6" s="2">
        <f t="shared" ref="C6:F16" si="0">J6+Q6+X6+AE6+AL6+AS6+AZ6+BG6+BN6+BU6</f>
        <v>17</v>
      </c>
      <c r="D6" s="2">
        <f t="shared" si="0"/>
        <v>17</v>
      </c>
      <c r="E6" s="35">
        <f>D6/C6</f>
        <v>1</v>
      </c>
      <c r="F6" s="2">
        <f t="shared" si="0"/>
        <v>8</v>
      </c>
      <c r="G6" s="35">
        <f t="shared" ref="G6:G17" si="1">F6/D6</f>
        <v>0.47058823529411764</v>
      </c>
      <c r="I6" t="s">
        <v>10</v>
      </c>
      <c r="J6" s="2">
        <f>COUNTIFS(顧客データ!$F$4:$F$1048576,"&gt;=2022/4/1",顧客データ!$F$4:$F$1048576,"&lt;=2022/4/30",顧客データ!$G$4:$G$1048576,"=自社HP",顧客データ!$H$4:$H$1048576,"=フェア")+COUNTIFS(顧客データ!$F$4:$F$1048576,"&gt;=2022/4/1",顧客データ!$F$4:$F$1048576,"&lt;=2022/4/30",顧客データ!$G$4:$G$1048576,"=自社HP",顧客データ!$H$4:$H$1048576,"=見学")</f>
        <v>8</v>
      </c>
      <c r="K6" s="2">
        <f>COUNTIFS(顧客データ!$F$4:$F$1048576,"&gt;=2022/4/1",顧客データ!$F$4:$F$1048576,"&lt;=2022/4/30",顧客データ!$G$4:$G$1048576,"=自社HP",顧客データ!$H$4:$H$1048576,"=フェア",顧客データ!$J$4:$J$1048576,"&gt;=2022/4/1")+COUNTIFS(顧客データ!$F$4:$F$1048576,"&gt;=2022/4/1",顧客データ!$F$4:$F$1048576,"&lt;=2022/4/30",顧客データ!$G$4:$G$1048576,"=自社HP",顧客データ!$H$4:$H$1048576,"=見学",顧客データ!$J$4:$J$1048576,"&gt;=2022/4/1")</f>
        <v>8</v>
      </c>
      <c r="L6" s="35">
        <f>K6/J6</f>
        <v>1</v>
      </c>
      <c r="M6" s="2">
        <f>COUNTIFS(顧客データ!$F$4:$F$1048576,"&gt;=2022/4/1",顧客データ!$F$4:$F$1048576,"&lt;=2022/4/30",顧客データ!$G$4:$G$1048576,"=自社HP",顧客データ!$H$4:$H$1048576,"=フェア",顧客データ!$D$4:$D$1048576,"=*成約*")+COUNTIFS(顧客データ!$F$4:$F$1048576,"&gt;=2022/4/1",顧客データ!$F$4:$F$1048576,"&lt;=2022/4/30",顧客データ!$G$4:$G$1048576,"=自社HP",顧客データ!$H$4:$H$1048576,"=見学",顧客データ!$D$4:$D$1048576,"=*成約*")</f>
        <v>4</v>
      </c>
      <c r="N6" s="35">
        <f t="shared" ref="N6:N17" si="2">M6/K6</f>
        <v>0.5</v>
      </c>
      <c r="P6" t="s">
        <v>10</v>
      </c>
      <c r="Q6" s="2">
        <f>COUNTIFS(顧客データ!$F$4:$F$1048576,"&gt;=2022/4/1",顧客データ!$F$4:$F$1048576,"&lt;=2022/4/30",顧客データ!$G$4:$G$1048576,"=自社HP",顧客データ!$H$4:$H$1048576,"=資料請求")</f>
        <v>0</v>
      </c>
      <c r="R6" s="2">
        <f>COUNTIFS(顧客データ!$F$4:$F$1048576,"&gt;=2022/4/1",顧客データ!$F$4:$F$1048576,"&lt;=2022/4/30",顧客データ!$G$4:$G$1048576,"=自社HP",顧客データ!$H$4:$H$1048576,"=資料請求",顧客データ!$J$4:$J$1048576,"&gt;=2022/4/1")</f>
        <v>0</v>
      </c>
      <c r="S6" s="35" t="e">
        <f>R6/Q6</f>
        <v>#DIV/0!</v>
      </c>
      <c r="T6" s="2">
        <f>COUNTIFS(顧客データ!$F$4:$F$1048576,"&gt;=2022/4/1",顧客データ!$F$4:$F$1048576,"&lt;=2022/4/30",顧客データ!$G$4:$G$1048576,"=自社HP",顧客データ!$H$4:$H$1048576,"=資料請求",顧客データ!$D$4:$D$1048576,"=*成約*")</f>
        <v>0</v>
      </c>
      <c r="U6" s="35" t="e">
        <f t="shared" ref="U6:U16" si="3">T6/R6</f>
        <v>#DIV/0!</v>
      </c>
      <c r="W6" t="s">
        <v>10</v>
      </c>
      <c r="X6" s="2">
        <f>COUNTIFS(顧客データ!$F$4:$F$1048576,"&gt;=2022/4/1",顧客データ!$F$4:$F$1048576,"&lt;=2022/4/30",顧客データ!$G$4:$G$1048576,"=直TEL",顧客データ!$H$4:$H$1048576,"=フェア")+COUNTIFS(顧客データ!$F$4:$F$1048576,"&gt;=2022/4/1",顧客データ!$F$4:$F$1048576,"&lt;=2022/4/30",顧客データ!$G$4:$G$1048576,"=直TEL",顧客データ!$H$4:$H$1048576,"=見学")</f>
        <v>4</v>
      </c>
      <c r="Y6" s="2">
        <f>COUNTIFS(顧客データ!$F$4:$F$1048576,"&gt;=2022/4/1",顧客データ!$F$4:$F$1048576,"&lt;=2022/4/30",顧客データ!$G$4:$G$1048576,"=直TEL",顧客データ!$H$4:$H$1048576,"=フェア",顧客データ!$J$4:$J$1048576,"&gt;=2022/4/1")+COUNTIFS(顧客データ!$F$4:$F$1048576,"&gt;=2022/4/1",顧客データ!$F$4:$F$1048576,"&lt;=2022/4/30",顧客データ!$G$4:$G$1048576,"=直TEL",顧客データ!$H$4:$H$1048576,"=見学",顧客データ!$J$4:$J$1048576,"&gt;=2022/4/1")</f>
        <v>4</v>
      </c>
      <c r="Z6" s="35">
        <f>Y6/X6</f>
        <v>1</v>
      </c>
      <c r="AA6" s="2">
        <f>COUNTIFS(顧客データ!$F$4:$F$1048576,"&gt;=2022/4/1",顧客データ!$F$4:$F$1048576,"&lt;=2022/4/30",顧客データ!$G$4:$G$1048576,"=直TEL",顧客データ!$H$4:$H$1048576,"=フェア",顧客データ!$D$4:$D$1048576,"=*成約*")+COUNTIFS(顧客データ!$F$4:$F$1048576,"&gt;=2022/4/1",顧客データ!$F$4:$F$1048576,"&lt;=2022/4/30",顧客データ!$G$4:$G$1048576,"=直TEL",顧客データ!$H$4:$H$1048576,"=見学",顧客データ!$D$4:$D$1048576,"=*成約*")</f>
        <v>2</v>
      </c>
      <c r="AB6" s="35">
        <f t="shared" ref="AB6:AB17" si="4">AA6/Y6</f>
        <v>0.5</v>
      </c>
      <c r="AD6" t="s">
        <v>10</v>
      </c>
      <c r="AE6" s="2">
        <f>COUNTIFS(顧客データ!$F$4:$F$1048576,"&gt;=2022/4/1",顧客データ!$F$4:$F$1048576,"&lt;=2022/4/30",顧客データ!$G$4:$G$1048576,"=直TEL",顧客データ!$H$4:$H$1048576,"=資料請求")</f>
        <v>0</v>
      </c>
      <c r="AF6" s="2">
        <f>COUNTIFS(顧客データ!$F$4:$F$1048576,"&gt;=2022/4/1",顧客データ!$F$4:$F$1048576,"&lt;=2022/4/30",顧客データ!$G$4:$G$1048576,"=直TEL",顧客データ!$H$4:$H$1048576,"=資料請求",顧客データ!$J$4:$J$1048576,"&gt;=2022/4/1")</f>
        <v>0</v>
      </c>
      <c r="AG6" s="35" t="e">
        <f>AF6/AE6</f>
        <v>#DIV/0!</v>
      </c>
      <c r="AH6" s="2">
        <f>COUNTIFS(顧客データ!$F$4:$F$1048576,"&gt;=2022/4/1",顧客データ!$F$4:$F$1048576,"&lt;=2022/4/30",顧客データ!$G$4:$G$1048576,"=直TEL",顧客データ!$H$4:$H$1048576,"=資料請求",顧客データ!$D$4:$D$1048576,"=*成約*")</f>
        <v>0</v>
      </c>
      <c r="AI6" s="35" t="e">
        <f t="shared" ref="AI6:AI16" si="5">AH6/AF6</f>
        <v>#DIV/0!</v>
      </c>
      <c r="AK6" t="s">
        <v>10</v>
      </c>
      <c r="AL6" s="2">
        <f>COUNTIFS(顧客データ!$F$4:$F$1048576,"&gt;=2022/4/1",顧客データ!$F$4:$F$1048576,"&lt;=2022/4/30",顧客データ!$G$4:$G$1048576,"=取引業者紹介")</f>
        <v>1</v>
      </c>
      <c r="AM6" s="2">
        <f>COUNTIFS(顧客データ!$F$4:$F$1048576,"&gt;=2022/4/1",顧客データ!$F$4:$F$1048576,"&lt;=2022/4/30",顧客データ!$G$4:$G$1048576,"=取引業者紹介",顧客データ!$J$4:$J$1048576,"&gt;=2022/4/1")</f>
        <v>1</v>
      </c>
      <c r="AN6" s="35">
        <f>AM6/AL6</f>
        <v>1</v>
      </c>
      <c r="AO6" s="2">
        <f>COUNTIFS(顧客データ!$F$4:$F$1048576,"&gt;=2022/4/1",顧客データ!$F$4:$F$1048576,"&lt;=2022/4/30",顧客データ!$G$4:$G$1048576,"=取引業者紹介",顧客データ!$D$4:$D$1048576,"=*成約*")</f>
        <v>1</v>
      </c>
      <c r="AP6" s="35">
        <f t="shared" ref="AP6:AP17" si="6">AO6/AM6</f>
        <v>1</v>
      </c>
      <c r="AR6" t="s">
        <v>10</v>
      </c>
      <c r="AS6" s="2">
        <f>COUNTIFS(顧客データ!$F$4:$F$1048576,"&gt;=2022/4/1",顧客データ!$F$4:$F$1048576,"&lt;=2022/4/30",顧客データ!$G$4:$G$1048576,"=みんウエ")</f>
        <v>0</v>
      </c>
      <c r="AT6" s="2">
        <f>COUNTIFS(顧客データ!$F$4:$F$1048576,"&gt;=2022/4/1",顧客データ!$F$4:$F$1048576,"&lt;=2022/4/30",顧客データ!$G$4:$G$1048576,"=みんウエ",顧客データ!$J$4:$J$1048576,"&gt;=2022/4/1")</f>
        <v>0</v>
      </c>
      <c r="AU6" s="35" t="e">
        <f>AT6/AS6</f>
        <v>#DIV/0!</v>
      </c>
      <c r="AV6" s="2">
        <f>COUNTIFS(顧客データ!$F$4:$F$1048576,"&gt;=2022/4/1",顧客データ!$F$4:$F$1048576,"&lt;=2022/4/30",顧客データ!$G$4:$G$1048576,"=みんウエ",顧客データ!$D$4:$D$1048576,"=*成約*")</f>
        <v>0</v>
      </c>
      <c r="AW6" s="35" t="e">
        <f t="shared" ref="AW6:AW17" si="7">AV6/AT6</f>
        <v>#DIV/0!</v>
      </c>
      <c r="AY6" t="s">
        <v>10</v>
      </c>
      <c r="AZ6" s="2">
        <f>COUNTIFS(顧客データ!$F$4:$F$1048576,"&gt;=2022/4/1",顧客データ!$F$4:$F$1048576,"&lt;=2022/4/30",顧客データ!$G$4:$G$1048576,"=小さな結婚式")</f>
        <v>1</v>
      </c>
      <c r="BA6" s="2">
        <f>COUNTIFS(顧客データ!$F$4:$F$1048576,"&gt;=2022/4/1",顧客データ!$F$4:$F$1048576,"&lt;=2022/4/30",顧客データ!$G$4:$G$1048576,"=小さな結婚式",顧客データ!$J$4:$J$1048576,"&gt;=2022/4/1")</f>
        <v>1</v>
      </c>
      <c r="BB6" s="35">
        <f>BA6/AZ6</f>
        <v>1</v>
      </c>
      <c r="BC6" s="2">
        <f>COUNTIFS(顧客データ!$F$4:$F$1048576,"&gt;=2022/4/1",顧客データ!$F$4:$F$1048576,"&lt;=2022/4/30",顧客データ!$G$4:$G$1048576,"=小さな結婚式",顧客データ!$D$4:$D$1048576,"=*成約*")</f>
        <v>1</v>
      </c>
      <c r="BD6" s="35">
        <f t="shared" ref="BD6:BD17" si="8">BC6/BA6</f>
        <v>1</v>
      </c>
      <c r="BF6" t="s">
        <v>10</v>
      </c>
      <c r="BG6" s="2">
        <f>COUNTIFS(顧客データ!$F$4:$F$1048576,"&gt;=2022/4/1",顧客データ!$F$4:$F$1048576,"&lt;=2022/4/30",顧客データ!$G$4:$G$1048576,"=ブラスポ")</f>
        <v>2</v>
      </c>
      <c r="BH6" s="2">
        <f>COUNTIFS(顧客データ!$F$4:$F$1048576,"&gt;=2022/4/1",顧客データ!$F$4:$F$1048576,"&lt;=2022/4/30",顧客データ!$G$4:$G$1048576,"=ブラスポ",顧客データ!$J$4:$J$1048576,"&gt;=2022/4/1")</f>
        <v>2</v>
      </c>
      <c r="BI6" s="35">
        <f>BH6/BG6</f>
        <v>1</v>
      </c>
      <c r="BJ6" s="2">
        <f>COUNTIFS(顧客データ!$F$4:$F$1048576,"&gt;=2022/4/1",顧客データ!$F$4:$F$1048576,"&lt;=2022/4/30",顧客データ!$G$4:$G$1048576,"=ブラスポ",顧客データ!$D$4:$D$1048576,"=*成約*")</f>
        <v>0</v>
      </c>
      <c r="BK6" s="35">
        <f t="shared" ref="BK6:BK17" si="9">BJ6/BH6</f>
        <v>0</v>
      </c>
      <c r="BM6" t="s">
        <v>10</v>
      </c>
      <c r="BN6" s="2">
        <f>COUNTIFS(顧客データ!$F$4:$F$1048576,"&gt;=2022/4/1",顧客データ!$F$4:$F$1048576,"&lt;=2022/4/30",顧客データ!$G$4:$G$1048576,"=ゼクナビ")</f>
        <v>0</v>
      </c>
      <c r="BO6" s="2">
        <f>COUNTIFS(顧客データ!$F$4:$F$1048576,"&gt;=2022/4/1",顧客データ!$F$4:$F$1048576,"&lt;=2022/4/30",顧客データ!$G$4:$G$1048576,"=ゼクナビ",顧客データ!$J$4:$J$1048576,"&gt;=2022/4/1")</f>
        <v>0</v>
      </c>
      <c r="BP6" s="35" t="e">
        <f>BO6/BN6</f>
        <v>#DIV/0!</v>
      </c>
      <c r="BQ6" s="2">
        <f>COUNTIFS(顧客データ!$F$4:$F$1048576,"&gt;=2022/4/1",顧客データ!$F$4:$F$1048576,"&lt;=2022/4/30",顧客データ!$G$4:$G$1048576,"=ゼクナビ",顧客データ!$D$4:$D$1048576,"=*成約*")</f>
        <v>0</v>
      </c>
      <c r="BR6" s="35" t="e">
        <f t="shared" ref="BR6:BR17" si="10">BQ6/BO6</f>
        <v>#DIV/0!</v>
      </c>
      <c r="BT6" t="s">
        <v>10</v>
      </c>
      <c r="BU6" s="2">
        <f>COUNTIFS(顧客データ!$F$4:$F$1048576,"&gt;=2022/4/1",顧客データ!$F$4:$F$1048576,"&lt;=2022/4/30",顧客データ!$G$4:$G$1048576,"=その他")</f>
        <v>1</v>
      </c>
      <c r="BV6" s="2">
        <f>COUNTIFS(顧客データ!$F$4:$F$1048576,"&gt;=2022/4/1",顧客データ!$F$4:$F$1048576,"&lt;=2022/4/30",顧客データ!$G$4:$G$1048576,"=その他",顧客データ!$J$4:$J$1048576,"&gt;=2022/4/1")</f>
        <v>1</v>
      </c>
      <c r="BW6" s="35">
        <f>BV6/BU6</f>
        <v>1</v>
      </c>
      <c r="BX6" s="2">
        <f>COUNTIFS(顧客データ!$F$4:$F$1048576,"&gt;=2022/4/1",顧客データ!$F$4:$F$1048576,"&lt;=2022/4/30",顧客データ!$G$4:$G$1048576,"=その他",顧客データ!$D$4:$D$1048576,"=*成約*")</f>
        <v>0</v>
      </c>
      <c r="BY6" s="35">
        <f t="shared" ref="BY6:BY17" si="11">BX6/BV6</f>
        <v>0</v>
      </c>
    </row>
    <row r="7" spans="2:77" x14ac:dyDescent="0.5">
      <c r="B7" t="s">
        <v>12</v>
      </c>
      <c r="C7" s="2">
        <f t="shared" si="0"/>
        <v>17</v>
      </c>
      <c r="D7" s="2">
        <f t="shared" si="0"/>
        <v>14</v>
      </c>
      <c r="E7" s="35">
        <f t="shared" ref="E7:E16" si="12">D7/C7</f>
        <v>0.82352941176470584</v>
      </c>
      <c r="F7" s="2">
        <f t="shared" si="0"/>
        <v>7</v>
      </c>
      <c r="G7" s="35">
        <f t="shared" si="1"/>
        <v>0.5</v>
      </c>
      <c r="I7" t="s">
        <v>12</v>
      </c>
      <c r="J7" s="2">
        <f>COUNTIFS(顧客データ!$F$4:$F$1048576,"&gt;=2022/5/1",顧客データ!$F$4:$F$1048576,"&lt;=2022/5/31",顧客データ!$G$4:$G$1048576,"=自社HP",顧客データ!$H$4:$H$1048576,"=フェア")+COUNTIFS(顧客データ!$F$4:$F$1048576,"&gt;=2022/5/1",顧客データ!$F$4:$F$1048576,"&lt;=2022/5/31",顧客データ!$G$4:$G$1048576,"=自社HP",顧客データ!$H$4:$H$1048576,"=見学")</f>
        <v>10</v>
      </c>
      <c r="K7" s="2">
        <f>COUNTIFS(顧客データ!$F$4:$F$1048576,"&gt;=2022/5/1",顧客データ!$F$4:$F$1048576,"&lt;=2022/5/31",顧客データ!$G$4:$G$1048576,"=自社HP",顧客データ!$H$4:$H$1048576,"=フェア",顧客データ!$J$4:$J$1048576,"&gt;=2022/5/1")+COUNTIFS(顧客データ!$F$4:$F$1048576,"&gt;=2022/5/1",顧客データ!$F$4:$F$1048576,"&lt;=2022/5/31",顧客データ!$G$4:$G$1048576,"=自社HP",顧客データ!$H$4:$H$1048576,"=見学",顧客データ!$J$4:$J$1048576,"&gt;=2022/5/1")</f>
        <v>9</v>
      </c>
      <c r="L7" s="35">
        <f t="shared" ref="L7:L17" si="13">K7/J7</f>
        <v>0.9</v>
      </c>
      <c r="M7" s="2">
        <f>COUNTIFS(顧客データ!$F$4:$F$1048576,"&gt;=2022/5/1",顧客データ!$F$4:$F$1048576,"&lt;=2022/5/31",顧客データ!$G$4:$G$1048576,"=自社HP",顧客データ!$H$4:$H$1048576,"=フェア",顧客データ!$D$4:$D$1048576,"=*成約*")+COUNTIFS(顧客データ!$F$4:$F$1048576,"&gt;=2022/5/1",顧客データ!$F$4:$F$1048576,"&lt;=2022/5/31",顧客データ!$G$4:$G$1048576,"=自社HP",顧客データ!$H$4:$H$1048576,"=見学",顧客データ!$D$4:$D$1048576,"=*成約*")</f>
        <v>3</v>
      </c>
      <c r="N7" s="35">
        <f t="shared" si="2"/>
        <v>0.33333333333333331</v>
      </c>
      <c r="P7" t="s">
        <v>12</v>
      </c>
      <c r="Q7" s="2">
        <f>COUNTIFS(顧客データ!$F$4:$F$1048576,"&gt;=2022/5/1",顧客データ!$F$4:$F$1048576,"&lt;=2022/5/31",顧客データ!$G$4:$G$1048576,"=自社HP",顧客データ!$H$4:$H$1048576,"=資料請求")</f>
        <v>1</v>
      </c>
      <c r="R7" s="2">
        <f>COUNTIFS(顧客データ!$F$4:$F$1048576,"&gt;=2022/5/1",顧客データ!$F$4:$F$1048576,"&lt;=2022/5/31",顧客データ!$G$4:$G$1048576,"=自社HP",顧客データ!$H$4:$H$1048576,"=資料請求",顧客データ!$J$4:$J$1048576,"&gt;=2022/5/1")</f>
        <v>0</v>
      </c>
      <c r="S7" s="35">
        <f t="shared" ref="S7:S16" si="14">R7/Q7</f>
        <v>0</v>
      </c>
      <c r="T7" s="2">
        <f>COUNTIFS(顧客データ!$F$4:$F$1048576,"&gt;=2022/5/1",顧客データ!$F$4:$F$1048576,"&lt;=2022/5/31",顧客データ!$G$4:$G$1048576,"=自社HP",顧客データ!$H$4:$H$1048576,"=資料請求",顧客データ!$D$4:$D$1048576,"=*成約*")</f>
        <v>0</v>
      </c>
      <c r="U7" s="35" t="e">
        <f t="shared" si="3"/>
        <v>#DIV/0!</v>
      </c>
      <c r="W7" t="s">
        <v>12</v>
      </c>
      <c r="X7" s="2">
        <f>COUNTIFS(顧客データ!$F$4:$F$1048576,"&gt;=2022/5/1",顧客データ!$F$4:$F$1048576,"&lt;=2022/5/31",顧客データ!$G$4:$G$1048576,"=直TEL",顧客データ!$H$4:$H$1048576,"=フェア")+COUNTIFS(顧客データ!$F$4:$F$1048576,"&gt;=2022/5/1",顧客データ!$F$4:$F$1048576,"&lt;=2022/5/31",顧客データ!$G$4:$G$1048576,"=直TEL",顧客データ!$H$4:$H$1048576,"=見学")</f>
        <v>0</v>
      </c>
      <c r="Y7" s="2">
        <f>COUNTIFS(顧客データ!$F$4:$F$1048576,"&gt;=2022/5/1",顧客データ!$F$4:$F$1048576,"&lt;=2022/5/31",顧客データ!$G$4:$G$1048576,"=直TEL",顧客データ!$H$4:$H$1048576,"=フェア",顧客データ!$J$4:$J$1048576,"&gt;=2022/5/1")+COUNTIFS(顧客データ!$F$4:$F$1048576,"&gt;=2022/5/1",顧客データ!$F$4:$F$1048576,"&lt;=2022/5/31",顧客データ!$G$4:$G$1048576,"=直TEL",顧客データ!$H$4:$H$1048576,"=見学",顧客データ!$J$4:$J$1048576,"&gt;=2022/5/1")</f>
        <v>0</v>
      </c>
      <c r="Z7" s="35" t="e">
        <f t="shared" ref="Z7:Z17" si="15">Y7/X7</f>
        <v>#DIV/0!</v>
      </c>
      <c r="AA7" s="2">
        <f>COUNTIFS(顧客データ!$F$4:$F$1048576,"&gt;=2022/5/1",顧客データ!$F$4:$F$1048576,"&lt;=2022/5/31",顧客データ!$G$4:$G$1048576,"=直TEL",顧客データ!$H$4:$H$1048576,"=フェア",顧客データ!$D$4:$D$1048576,"=*成約*")+COUNTIFS(顧客データ!$F$4:$F$1048576,"&gt;=2022/5/1",顧客データ!$F$4:$F$1048576,"&lt;=2022/5/31",顧客データ!$G$4:$G$1048576,"=直TEL",顧客データ!$H$4:$H$1048576,"=見学",顧客データ!$D$4:$D$1048576,"=*成約*")</f>
        <v>0</v>
      </c>
      <c r="AB7" s="35" t="e">
        <f t="shared" si="4"/>
        <v>#DIV/0!</v>
      </c>
      <c r="AD7" t="s">
        <v>12</v>
      </c>
      <c r="AE7" s="2">
        <f>COUNTIFS(顧客データ!$F$4:$F$1048576,"&gt;=2022/5/1",顧客データ!$F$4:$F$1048576,"&lt;=2022/5/31",顧客データ!$G$4:$G$1048576,"=直TEL",顧客データ!$H$4:$H$1048576,"=資料請求")</f>
        <v>0</v>
      </c>
      <c r="AF7" s="2">
        <f>COUNTIFS(顧客データ!$F$4:$F$1048576,"&gt;=2022/5/1",顧客データ!$F$4:$F$1048576,"&lt;=2022/5/31",顧客データ!$G$4:$G$1048576,"=直TEL",顧客データ!$H$4:$H$1048576,"=資料請求",顧客データ!$J$4:$J$1048576,"&gt;=2022/5/1")</f>
        <v>0</v>
      </c>
      <c r="AG7" s="35" t="e">
        <f t="shared" ref="AG7:AG17" si="16">AF7/AE7</f>
        <v>#DIV/0!</v>
      </c>
      <c r="AH7" s="2">
        <f>COUNTIFS(顧客データ!$F$4:$F$1048576,"&gt;=2022/5/1",顧客データ!$F$4:$F$1048576,"&lt;=2022/5/31",顧客データ!$G$4:$G$1048576,"=直TEL",顧客データ!$H$4:$H$1048576,"=資料請求",顧客データ!$D$4:$D$1048576,"=*成約*")</f>
        <v>0</v>
      </c>
      <c r="AI7" s="35" t="e">
        <f t="shared" si="5"/>
        <v>#DIV/0!</v>
      </c>
      <c r="AK7" t="s">
        <v>12</v>
      </c>
      <c r="AL7" s="2">
        <f>COUNTIFS(顧客データ!$F$4:$F$1048576,"&gt;=2022/5/1",顧客データ!$F$4:$F$1048576,"&lt;=2022/5/31",顧客データ!$G$4:$G$1048576,"=取引業者紹介")</f>
        <v>1</v>
      </c>
      <c r="AM7" s="2">
        <f>COUNTIFS(顧客データ!$F$4:$F$1048576,"&gt;=2022/5/1",顧客データ!$F$4:$F$1048576,"&lt;=2022/5/31",顧客データ!$G$4:$G$1048576,"=取引業者紹介",顧客データ!$J$4:$J$1048576,"&gt;=2022/5/1")</f>
        <v>1</v>
      </c>
      <c r="AN7" s="35">
        <f t="shared" ref="AN7:AN17" si="17">AM7/AL7</f>
        <v>1</v>
      </c>
      <c r="AO7" s="2">
        <f>COUNTIFS(顧客データ!$F$4:$F$1048576,"&gt;=2022/5/1",顧客データ!$F$4:$F$1048576,"&lt;=2022/5/31",顧客データ!$G$4:$G$1048576,"=取引業者紹介",顧客データ!$D$4:$D$1048576,"=*成約*")</f>
        <v>1</v>
      </c>
      <c r="AP7" s="35">
        <f t="shared" si="6"/>
        <v>1</v>
      </c>
      <c r="AR7" t="s">
        <v>12</v>
      </c>
      <c r="AS7" s="2">
        <f>COUNTIFS(顧客データ!$F$4:$F$1048576,"&gt;=2022/5/1",顧客データ!$F$4:$F$1048576,"&lt;=2022/5/31",顧客データ!$G$4:$G$1048576,"=みんウエ")</f>
        <v>0</v>
      </c>
      <c r="AT7" s="2">
        <f>COUNTIFS(顧客データ!$F$4:$F$1048576,"&gt;=2022/5/1",顧客データ!$F$4:$F$1048576,"&lt;=2022/5/31",顧客データ!$G$4:$G$1048576,"=みんウエ",顧客データ!$J$4:$J$1048576,"&gt;=2022/5/1")</f>
        <v>0</v>
      </c>
      <c r="AU7" s="35" t="e">
        <f t="shared" ref="AU7:AU17" si="18">AT7/AS7</f>
        <v>#DIV/0!</v>
      </c>
      <c r="AV7" s="2">
        <f>COUNTIFS(顧客データ!$F$4:$F$1048576,"&gt;=2022/5/1",顧客データ!$F$4:$F$1048576,"&lt;=2022/5/31",顧客データ!$G$4:$G$1048576,"=みんウエ",顧客データ!$D$4:$D$1048576,"=*成約*")</f>
        <v>0</v>
      </c>
      <c r="AW7" s="35" t="e">
        <f t="shared" si="7"/>
        <v>#DIV/0!</v>
      </c>
      <c r="AY7" t="s">
        <v>12</v>
      </c>
      <c r="AZ7" s="2">
        <f>COUNTIFS(顧客データ!$F$4:$F$1048576,"&gt;=2022/5/1",顧客データ!$F$4:$F$1048576,"&lt;=2022/5/31",顧客データ!$G$4:$G$1048576,"=小さな結婚式")</f>
        <v>3</v>
      </c>
      <c r="BA7" s="2">
        <f>COUNTIFS(顧客データ!$F$4:$F$1048576,"&gt;=2022/5/1",顧客データ!$F$4:$F$1048576,"&lt;=2022/5/31",顧客データ!$G$4:$G$1048576,"=小さな結婚式",顧客データ!$J$4:$J$1048576,"&gt;=2022/5/1")</f>
        <v>3</v>
      </c>
      <c r="BB7" s="35">
        <f t="shared" ref="BB7:BB17" si="19">BA7/AZ7</f>
        <v>1</v>
      </c>
      <c r="BC7" s="2">
        <f>COUNTIFS(顧客データ!$F$4:$F$1048576,"&gt;=2022/5/1",顧客データ!$F$4:$F$1048576,"&lt;=2022/5/31",顧客データ!$G$4:$G$1048576,"=小さな結婚式",顧客データ!$D$4:$D$1048576,"=*成約*")</f>
        <v>2</v>
      </c>
      <c r="BD7" s="35">
        <f t="shared" si="8"/>
        <v>0.66666666666666663</v>
      </c>
      <c r="BF7" t="s">
        <v>12</v>
      </c>
      <c r="BG7" s="2">
        <f>COUNTIFS(顧客データ!$F$4:$F$1048576,"&gt;=2022/5/1",顧客データ!$F$4:$F$1048576,"&lt;=2022/5/31",顧客データ!$G$4:$G$1048576,"=ブラスポ")</f>
        <v>0</v>
      </c>
      <c r="BH7" s="2">
        <f>COUNTIFS(顧客データ!$F$4:$F$1048576,"&gt;=2022/5/1",顧客データ!$F$4:$F$1048576,"&lt;=2022/5/31",顧客データ!$G$4:$G$1048576,"=ブラスポ",顧客データ!$J$4:$J$1048576,"&gt;=2022/5/1")</f>
        <v>0</v>
      </c>
      <c r="BI7" s="35" t="e">
        <f t="shared" ref="BI7:BI17" si="20">BH7/BG7</f>
        <v>#DIV/0!</v>
      </c>
      <c r="BJ7" s="2">
        <f>COUNTIFS(顧客データ!$F$4:$F$1048576,"&gt;=2022/5/1",顧客データ!$F$4:$F$1048576,"&lt;=2022/5/31",顧客データ!$G$4:$G$1048576,"=ブラスポ",顧客データ!$D$4:$D$1048576,"=*成約*")</f>
        <v>0</v>
      </c>
      <c r="BK7" s="35" t="e">
        <f t="shared" si="9"/>
        <v>#DIV/0!</v>
      </c>
      <c r="BM7" t="s">
        <v>12</v>
      </c>
      <c r="BN7" s="2">
        <f>COUNTIFS(顧客データ!$F$4:$F$1048576,"&gt;=2022/5/1",顧客データ!$F$4:$F$1048576,"&lt;=2022/5/31",顧客データ!$G$4:$G$1048576,"=ゼクナビ")</f>
        <v>0</v>
      </c>
      <c r="BO7" s="2">
        <f>COUNTIFS(顧客データ!$F$4:$F$1048576,"&gt;=2022/5/1",顧客データ!$F$4:$F$1048576,"&lt;=2022/5/31",顧客データ!$G$4:$G$1048576,"=ゼクナビ",顧客データ!$J$4:$J$1048576,"&gt;=2022/5/1")</f>
        <v>0</v>
      </c>
      <c r="BP7" s="35" t="e">
        <f t="shared" ref="BP7:BP17" si="21">BO7/BN7</f>
        <v>#DIV/0!</v>
      </c>
      <c r="BQ7" s="2">
        <f>COUNTIFS(顧客データ!$F$4:$F$1048576,"&gt;=2022/5/1",顧客データ!$F$4:$F$1048576,"&lt;=2022/5/31",顧客データ!$G$4:$G$1048576,"=ゼクナビ",顧客データ!$D$4:$D$1048576,"=*成約*")</f>
        <v>0</v>
      </c>
      <c r="BR7" s="35" t="e">
        <f t="shared" si="10"/>
        <v>#DIV/0!</v>
      </c>
      <c r="BT7" t="s">
        <v>12</v>
      </c>
      <c r="BU7" s="2">
        <f>COUNTIFS(顧客データ!$F$4:$F$1048576,"&gt;=2022/5/1",顧客データ!$F$4:$F$1048576,"&lt;=2022/5/31",顧客データ!$G$4:$G$1048576,"=その他")</f>
        <v>2</v>
      </c>
      <c r="BV7" s="2">
        <f>COUNTIFS(顧客データ!$F$4:$F$1048576,"&gt;=2022/5/1",顧客データ!$F$4:$F$1048576,"&lt;=2022/5/31",顧客データ!$G$4:$G$1048576,"=その他",顧客データ!$J$4:$J$1048576,"&gt;=2022/5/1")</f>
        <v>1</v>
      </c>
      <c r="BW7" s="35">
        <f t="shared" ref="BW7:BW17" si="22">BV7/BU7</f>
        <v>0.5</v>
      </c>
      <c r="BX7" s="2">
        <f>COUNTIFS(顧客データ!$F$4:$F$1048576,"&gt;=2022/5/1",顧客データ!$F$4:$F$1048576,"&lt;=2022/5/31",顧客データ!$G$4:$G$1048576,"=その他",顧客データ!$D$4:$D$1048576,"=*成約*")</f>
        <v>1</v>
      </c>
      <c r="BY7" s="35">
        <f t="shared" si="11"/>
        <v>1</v>
      </c>
    </row>
    <row r="8" spans="2:77" x14ac:dyDescent="0.5">
      <c r="B8" t="s">
        <v>13</v>
      </c>
      <c r="C8" s="2">
        <f t="shared" si="0"/>
        <v>7</v>
      </c>
      <c r="D8" s="2">
        <f t="shared" si="0"/>
        <v>6</v>
      </c>
      <c r="E8" s="35">
        <f t="shared" si="12"/>
        <v>0.8571428571428571</v>
      </c>
      <c r="F8" s="2">
        <f t="shared" si="0"/>
        <v>3</v>
      </c>
      <c r="G8" s="35">
        <f t="shared" si="1"/>
        <v>0.5</v>
      </c>
      <c r="I8" t="s">
        <v>13</v>
      </c>
      <c r="J8" s="2">
        <f>COUNTIFS(顧客データ!$F$4:$F$1048576,"&gt;=2022/6/1",顧客データ!$F$4:$F$1048576,"&lt;=2022/6/30",顧客データ!$G$4:$G$1048576,"=自社HP",顧客データ!$H$4:$H$1048576,"=フェア")+COUNTIFS(顧客データ!$F$4:$F$1048576,"&gt;=2022/6/1",顧客データ!$F$4:$F$1048576,"&lt;=2022/6/30",顧客データ!$G$4:$G$1048576,"=自社HP",顧客データ!$H$4:$H$1048576,"=見学")</f>
        <v>4</v>
      </c>
      <c r="K8" s="2">
        <f>COUNTIFS(顧客データ!$F$4:$F$1048576,"&gt;=2022/6/1",顧客データ!$F$4:$F$1048576,"&lt;=2022/6/30",顧客データ!$G$4:$G$1048576,"=自社HP",顧客データ!$H$4:$H$1048576,"=フェア",顧客データ!$J$4:$J$1048576,"&gt;=2022/6/1")+COUNTIFS(顧客データ!$F$4:$F$1048576,"&gt;=2022/6/1",顧客データ!$F$4:$F$1048576,"&lt;=2022/6/30",顧客データ!$G$4:$G$1048576,"=自社HP",顧客データ!$H$4:$H$1048576,"=見学",顧客データ!$J$4:$J$1048576,"&gt;=2022/6/1")</f>
        <v>4</v>
      </c>
      <c r="L8" s="35">
        <f t="shared" si="13"/>
        <v>1</v>
      </c>
      <c r="M8" s="2">
        <f>COUNTIFS(顧客データ!$F$4:$F$1048576,"&gt;=2022/6/1",顧客データ!$F$4:$F$1048576,"&lt;=2022/6/30",顧客データ!$G$4:$G$1048576,"=自社HP",顧客データ!$H$4:$H$1048576,"=フェア",顧客データ!$D$4:$D$1048576,"=*成約*")+COUNTIFS(顧客データ!$F$4:$F$1048576,"&gt;=2022/6/1",顧客データ!$F$4:$F$1048576,"&lt;=2022/6/30",顧客データ!$G$4:$G$1048576,"=自社HP",顧客データ!$H$4:$H$1048576,"=見学",顧客データ!$D$4:$D$1048576,"=*成約*")</f>
        <v>2</v>
      </c>
      <c r="N8" s="35">
        <f t="shared" si="2"/>
        <v>0.5</v>
      </c>
      <c r="P8" t="s">
        <v>13</v>
      </c>
      <c r="Q8" s="2">
        <f>COUNTIFS(顧客データ!$F$4:$F$1048576,"&gt;=2022/6/1",顧客データ!$F$4:$F$1048576,"&lt;=2022/6/30",顧客データ!$G$4:$G$1048576,"=自社HP",顧客データ!$H$4:$H$1048576,"=資料請求")</f>
        <v>1</v>
      </c>
      <c r="R8" s="2">
        <f>COUNTIFS(顧客データ!$F$4:$F$1048576,"&gt;=2022/6/1",顧客データ!$F$4:$F$1048576,"&lt;=2022/6/30",顧客データ!$G$4:$G$1048576,"=自社HP",顧客データ!$H$4:$H$1048576,"=資料請求",顧客データ!$J$4:$J$1048576,"&gt;=2022/6/1")</f>
        <v>0</v>
      </c>
      <c r="S8" s="35">
        <f t="shared" si="14"/>
        <v>0</v>
      </c>
      <c r="T8" s="2">
        <f>COUNTIFS(顧客データ!$F$4:$F$1048576,"&gt;=2022/6/1",顧客データ!$F$4:$F$1048576,"&lt;=2022/6/30",顧客データ!$G$4:$G$1048576,"=自社HP",顧客データ!$H$4:$H$1048576,"=資料請求",顧客データ!$D$4:$D$1048576,"=*成約*")</f>
        <v>0</v>
      </c>
      <c r="U8" s="35" t="e">
        <f t="shared" si="3"/>
        <v>#DIV/0!</v>
      </c>
      <c r="W8" t="s">
        <v>13</v>
      </c>
      <c r="X8" s="2">
        <f>COUNTIFS(顧客データ!$F$4:$F$1048576,"&gt;=2022/6/1",顧客データ!$F$4:$F$1048576,"&lt;=2022/6/30",顧客データ!$G$4:$G$1048576,"=直TEL",顧客データ!$H$4:$H$1048576,"=フェア")+COUNTIFS(顧客データ!$F$4:$F$1048576,"&gt;=2022/6/1",顧客データ!$F$4:$F$1048576,"&lt;=2022/6/30",顧客データ!$G$4:$G$1048576,"=直TEL",顧客データ!$H$4:$H$1048576,"=見学")</f>
        <v>0</v>
      </c>
      <c r="Y8" s="2">
        <f>COUNTIFS(顧客データ!$F$4:$F$1048576,"&gt;=2022/6/1",顧客データ!$F$4:$F$1048576,"&lt;=2022/6/30",顧客データ!$G$4:$G$1048576,"=直TEL",顧客データ!$H$4:$H$1048576,"=フェア",顧客データ!$J$4:$J$1048576,"&gt;=2022/6/1")+COUNTIFS(顧客データ!$F$4:$F$1048576,"&gt;=2022/6/1",顧客データ!$F$4:$F$1048576,"&lt;=2022/6/30",顧客データ!$G$4:$G$1048576,"=直TEL",顧客データ!$H$4:$H$1048576,"=見学",顧客データ!$J$4:$J$1048576,"&gt;=2022/6/1")</f>
        <v>0</v>
      </c>
      <c r="Z8" s="35" t="e">
        <f t="shared" si="15"/>
        <v>#DIV/0!</v>
      </c>
      <c r="AA8" s="2">
        <f>COUNTIFS(顧客データ!$F$4:$F$1048576,"&gt;=2022/6/1",顧客データ!$F$4:$F$1048576,"&lt;=2022/6/30",顧客データ!$G$4:$G$1048576,"=直TEL",顧客データ!$H$4:$H$1048576,"=フェア",顧客データ!$D$4:$D$1048576,"=*成約*")+COUNTIFS(顧客データ!$F$4:$F$1048576,"&gt;=2022/6/1",顧客データ!$F$4:$F$1048576,"&lt;=2022/6/30",顧客データ!$G$4:$G$1048576,"=直TEL",顧客データ!$H$4:$H$1048576,"=見学",顧客データ!$D$4:$D$1048576,"=*成約*")</f>
        <v>0</v>
      </c>
      <c r="AB8" s="35" t="e">
        <f t="shared" si="4"/>
        <v>#DIV/0!</v>
      </c>
      <c r="AD8" t="s">
        <v>13</v>
      </c>
      <c r="AE8" s="2">
        <f>COUNTIFS(顧客データ!$F$4:$F$1048576,"&gt;=2022/6/1",顧客データ!$F$4:$F$1048576,"&lt;=2022/6/30",顧客データ!$G$4:$G$1048576,"=直TEL",顧客データ!$H$4:$H$1048576,"=資料請求")</f>
        <v>0</v>
      </c>
      <c r="AF8" s="2">
        <f>COUNTIFS(顧客データ!$F$4:$F$1048576,"&gt;=2022/6/1",顧客データ!$F$4:$F$1048576,"&lt;=2022/6/30",顧客データ!$G$4:$G$1048576,"=直TEL",顧客データ!$H$4:$H$1048576,"=資料請求",顧客データ!$J$4:$J$1048576,"&gt;=2022/6/1")</f>
        <v>0</v>
      </c>
      <c r="AG8" s="35" t="e">
        <f t="shared" si="16"/>
        <v>#DIV/0!</v>
      </c>
      <c r="AH8" s="2">
        <f>COUNTIFS(顧客データ!$F$4:$F$1048576,"&gt;=2022/6/1",顧客データ!$F$4:$F$1048576,"&lt;=2022/6/30",顧客データ!$G$4:$G$1048576,"=直TEL",顧客データ!$H$4:$H$1048576,"=資料請求",顧客データ!$D$4:$D$1048576,"=*成約*")</f>
        <v>0</v>
      </c>
      <c r="AI8" s="35" t="e">
        <f t="shared" si="5"/>
        <v>#DIV/0!</v>
      </c>
      <c r="AK8" t="s">
        <v>13</v>
      </c>
      <c r="AL8" s="2">
        <f>COUNTIFS(顧客データ!$F$4:$F$1048576,"&gt;=2022/6/1",顧客データ!$F$4:$F$1048576,"&lt;=2022/6/30",顧客データ!$G$4:$G$1048576,"=取引業者紹介")</f>
        <v>0</v>
      </c>
      <c r="AM8" s="2">
        <f>COUNTIFS(顧客データ!$F$4:$F$1048576,"&gt;=2022/6/1",顧客データ!$F$4:$F$1048576,"&lt;=2022/6/30",顧客データ!$G$4:$G$1048576,"=取引業者紹介",顧客データ!$J$4:$J$1048576,"&gt;=2022/6/1")</f>
        <v>0</v>
      </c>
      <c r="AN8" s="35" t="e">
        <f t="shared" si="17"/>
        <v>#DIV/0!</v>
      </c>
      <c r="AO8" s="2">
        <f>COUNTIFS(顧客データ!$F$4:$F$1048576,"&gt;=2022/6/1",顧客データ!$F$4:$F$1048576,"&lt;=2022/6/30",顧客データ!$G$4:$G$1048576,"=取引業者紹介",顧客データ!$D$4:$D$1048576,"=*成約*")</f>
        <v>0</v>
      </c>
      <c r="AP8" s="35" t="e">
        <f t="shared" si="6"/>
        <v>#DIV/0!</v>
      </c>
      <c r="AR8" t="s">
        <v>13</v>
      </c>
      <c r="AS8" s="2">
        <f>COUNTIFS(顧客データ!$F$4:$F$1048576,"&gt;=2022/6/1",顧客データ!$F$4:$F$1048576,"&lt;=2022/6/30",顧客データ!$G$4:$G$1048576,"=みんウエ")</f>
        <v>0</v>
      </c>
      <c r="AT8" s="2">
        <f>COUNTIFS(顧客データ!$F$4:$F$1048576,"&gt;=2022/6/1",顧客データ!$F$4:$F$1048576,"&lt;=2022/6/30",顧客データ!$G$4:$G$1048576,"=みんウエ",顧客データ!$J$4:$J$1048576,"&gt;=2022/6/1")</f>
        <v>0</v>
      </c>
      <c r="AU8" s="35" t="e">
        <f t="shared" si="18"/>
        <v>#DIV/0!</v>
      </c>
      <c r="AV8" s="2">
        <f>COUNTIFS(顧客データ!$F$4:$F$1048576,"&gt;=2022/6/1",顧客データ!$F$4:$F$1048576,"&lt;=2022/6/30",顧客データ!$G$4:$G$1048576,"=みんウエ",顧客データ!$D$4:$D$1048576,"=*成約*")</f>
        <v>0</v>
      </c>
      <c r="AW8" s="35" t="e">
        <f t="shared" si="7"/>
        <v>#DIV/0!</v>
      </c>
      <c r="AY8" t="s">
        <v>13</v>
      </c>
      <c r="AZ8" s="2">
        <f>COUNTIFS(顧客データ!$F$4:$F$1048576,"&gt;=2022/6/1",顧客データ!$F$4:$F$1048576,"&lt;=2022/6/30",顧客データ!$G$4:$G$1048576,"=小さな結婚式")</f>
        <v>0</v>
      </c>
      <c r="BA8" s="2">
        <f>COUNTIFS(顧客データ!$F$4:$F$1048576,"&gt;=2022/6/1",顧客データ!$F$4:$F$1048576,"&lt;=2022/6/30",顧客データ!$G$4:$G$1048576,"=小さな結婚式",顧客データ!$J$4:$J$1048576,"&gt;=2022/6/1")</f>
        <v>0</v>
      </c>
      <c r="BB8" s="35" t="e">
        <f t="shared" si="19"/>
        <v>#DIV/0!</v>
      </c>
      <c r="BC8" s="2">
        <f>COUNTIFS(顧客データ!$F$4:$F$1048576,"&gt;=2022/6/1",顧客データ!$F$4:$F$1048576,"&lt;=2022/6/30",顧客データ!$G$4:$G$1048576,"=小さな結婚式",顧客データ!$D$4:$D$1048576,"=*成約*")</f>
        <v>0</v>
      </c>
      <c r="BD8" s="35" t="e">
        <f t="shared" si="8"/>
        <v>#DIV/0!</v>
      </c>
      <c r="BF8" t="s">
        <v>13</v>
      </c>
      <c r="BG8" s="2">
        <f>COUNTIFS(顧客データ!$F$4:$F$1048576,"&gt;=2022/6/1",顧客データ!$F$4:$F$1048576,"&lt;=2022/6/30",顧客データ!$G$4:$G$1048576,"=ブラスポ")</f>
        <v>0</v>
      </c>
      <c r="BH8" s="2">
        <f>COUNTIFS(顧客データ!$F$4:$F$1048576,"&gt;=2022/6/1",顧客データ!$F$4:$F$1048576,"&lt;=2022/6/30",顧客データ!$G$4:$G$1048576,"=ブラスポ",顧客データ!$J$4:$J$1048576,"&gt;=2022/6/1")</f>
        <v>0</v>
      </c>
      <c r="BI8" s="35" t="e">
        <f t="shared" si="20"/>
        <v>#DIV/0!</v>
      </c>
      <c r="BJ8" s="2">
        <f>COUNTIFS(顧客データ!$F$4:$F$1048576,"&gt;=2022/6/1",顧客データ!$F$4:$F$1048576,"&lt;=2022/6/30",顧客データ!$G$4:$G$1048576,"=ブラスポ",顧客データ!$D$4:$D$1048576,"=*成約*")</f>
        <v>0</v>
      </c>
      <c r="BK8" s="35" t="e">
        <f t="shared" si="9"/>
        <v>#DIV/0!</v>
      </c>
      <c r="BM8" t="s">
        <v>13</v>
      </c>
      <c r="BN8" s="2">
        <f>COUNTIFS(顧客データ!$F$4:$F$1048576,"&gt;=2022/6/1",顧客データ!$F$4:$F$1048576,"&lt;=2022/6/30",顧客データ!$G$4:$G$1048576,"=ゼクナビ")</f>
        <v>1</v>
      </c>
      <c r="BO8" s="2">
        <f>COUNTIFS(顧客データ!$F$4:$F$1048576,"&gt;=2022/6/1",顧客データ!$F$4:$F$1048576,"&lt;=2022/6/30",顧客データ!$G$4:$G$1048576,"=ゼクナビ",顧客データ!$J$4:$J$1048576,"&gt;=2022/6/1")</f>
        <v>1</v>
      </c>
      <c r="BP8" s="35">
        <f t="shared" si="21"/>
        <v>1</v>
      </c>
      <c r="BQ8" s="2">
        <f>COUNTIFS(顧客データ!$F$4:$F$1048576,"&gt;=2022/6/1",顧客データ!$F$4:$F$1048576,"&lt;=2022/6/30",顧客データ!$G$4:$G$1048576,"=ゼクナビ",顧客データ!$D$4:$D$1048576,"=*成約*")</f>
        <v>1</v>
      </c>
      <c r="BR8" s="35">
        <f t="shared" si="10"/>
        <v>1</v>
      </c>
      <c r="BT8" t="s">
        <v>13</v>
      </c>
      <c r="BU8" s="2">
        <f>COUNTIFS(顧客データ!$F$4:$F$1048576,"&gt;=2022/6/1",顧客データ!$F$4:$F$1048576,"&lt;=2022/6/30",顧客データ!$G$4:$G$1048576,"=その他")</f>
        <v>1</v>
      </c>
      <c r="BV8" s="2">
        <f>COUNTIFS(顧客データ!$F$4:$F$1048576,"&gt;=2022/6/1",顧客データ!$F$4:$F$1048576,"&lt;=2022/6/30",顧客データ!$G$4:$G$1048576,"=その他",顧客データ!$J$4:$J$1048576,"&gt;=2022/6/1")</f>
        <v>1</v>
      </c>
      <c r="BW8" s="35">
        <f t="shared" si="22"/>
        <v>1</v>
      </c>
      <c r="BX8" s="2">
        <f>COUNTIFS(顧客データ!$F$4:$F$1048576,"&gt;=2022/6/1",顧客データ!$F$4:$F$1048576,"&lt;=2022/6/30",顧客データ!$G$4:$G$1048576,"=その他",顧客データ!$D$4:$D$1048576,"=*成約*")</f>
        <v>0</v>
      </c>
      <c r="BY8" s="35">
        <f t="shared" si="11"/>
        <v>0</v>
      </c>
    </row>
    <row r="9" spans="2:77" x14ac:dyDescent="0.5">
      <c r="B9" t="s">
        <v>14</v>
      </c>
      <c r="C9" s="2">
        <f t="shared" si="0"/>
        <v>12</v>
      </c>
      <c r="D9" s="2">
        <f t="shared" si="0"/>
        <v>10</v>
      </c>
      <c r="E9" s="35">
        <f t="shared" si="12"/>
        <v>0.83333333333333337</v>
      </c>
      <c r="F9" s="2">
        <f t="shared" si="0"/>
        <v>3</v>
      </c>
      <c r="G9" s="35">
        <f t="shared" si="1"/>
        <v>0.3</v>
      </c>
      <c r="I9" t="s">
        <v>14</v>
      </c>
      <c r="J9" s="2">
        <f>COUNTIFS(顧客データ!$F$4:$F$1048576,"&gt;=2022/7/1",顧客データ!$F$4:$F$1048576,"&lt;=2022/7/31",顧客データ!$G$4:$G$1048576,"=自社HP",顧客データ!$H$4:$H$1048576,"=フェア")+COUNTIFS(顧客データ!$F$4:$F$1048576,"&gt;=2022/7/1",顧客データ!$F$4:$F$1048576,"&lt;=2022/7/31",顧客データ!$G$4:$G$1048576,"=自社HP",顧客データ!$H$4:$H$1048576,"=見学")</f>
        <v>4</v>
      </c>
      <c r="K9" s="2">
        <f>COUNTIFS(顧客データ!$F$4:$F$1048576,"&gt;=2022/7/1",顧客データ!$F$4:$F$1048576,"&lt;=2022/7/31",顧客データ!$G$4:$G$1048576,"=自社HP",顧客データ!$H$4:$H$1048576,"=フェア",顧客データ!$J$4:$J$1048576,"&gt;=2022/7/1")+COUNTIFS(顧客データ!$F$4:$F$1048576,"&gt;=2022/7/1",顧客データ!$F$4:$F$1048576,"&lt;=2022/7/31",顧客データ!$G$4:$G$1048576,"=自社HP",顧客データ!$H$4:$H$1048576,"=見学",顧客データ!$J$4:$J$1048576,"&gt;=2022/7/1")</f>
        <v>4</v>
      </c>
      <c r="L9" s="35">
        <f t="shared" si="13"/>
        <v>1</v>
      </c>
      <c r="M9" s="2">
        <f>COUNTIFS(顧客データ!$F$4:$F$1048576,"&gt;=2022/7/1",顧客データ!$F$4:$F$1048576,"&lt;=2022/7/31",顧客データ!$G$4:$G$1048576,"=自社HP",顧客データ!$H$4:$H$1048576,"=フェア",顧客データ!$D$4:$D$1048576,"=*成約*")+COUNTIFS(顧客データ!$F$4:$F$1048576,"&gt;=2022/7/1",顧客データ!$F$4:$F$1048576,"&lt;=2022/7/31",顧客データ!$G$4:$G$1048576,"=自社HP",顧客データ!$H$4:$H$1048576,"=見学",顧客データ!$D$4:$D$1048576,"=*成約*")</f>
        <v>1</v>
      </c>
      <c r="N9" s="35">
        <f t="shared" si="2"/>
        <v>0.25</v>
      </c>
      <c r="P9" t="s">
        <v>14</v>
      </c>
      <c r="Q9" s="2">
        <f>COUNTIFS(顧客データ!$F$4:$F$1048576,"&gt;=2022/7/1",顧客データ!$F$4:$F$1048576,"&lt;=2022/7/31",顧客データ!$G$4:$G$1048576,"=自社HP",顧客データ!$H$4:$H$1048576,"=資料請求")</f>
        <v>0</v>
      </c>
      <c r="R9" s="2">
        <f>COUNTIFS(顧客データ!$F$4:$F$1048576,"&gt;=2022/7/1",顧客データ!$F$4:$F$1048576,"&lt;=2022/7/31",顧客データ!$G$4:$G$1048576,"=自社HP",顧客データ!$H$4:$H$1048576,"=資料請求",顧客データ!$J$4:$J$1048576,"&gt;=2022/7/1")</f>
        <v>0</v>
      </c>
      <c r="S9" s="35" t="e">
        <f t="shared" si="14"/>
        <v>#DIV/0!</v>
      </c>
      <c r="T9" s="2">
        <f>COUNTIFS(顧客データ!$F$4:$F$1048576,"&gt;=2022/7/1",顧客データ!$F$4:$F$1048576,"&lt;=2022/7/31",顧客データ!$G$4:$G$1048576,"=自社HP",顧客データ!$H$4:$H$1048576,"=資料請求",顧客データ!$D$4:$D$1048576,"=*成約*")</f>
        <v>0</v>
      </c>
      <c r="U9" s="35" t="e">
        <f t="shared" si="3"/>
        <v>#DIV/0!</v>
      </c>
      <c r="W9" t="s">
        <v>14</v>
      </c>
      <c r="X9" s="2">
        <f>COUNTIFS(顧客データ!$F$4:$F$1048576,"&gt;=2022/7/1",顧客データ!$F$4:$F$1048576,"&lt;=2022/7/31",顧客データ!$G$4:$G$1048576,"=直TEL",顧客データ!$H$4:$H$1048576,"=フェア")+COUNTIFS(顧客データ!$F$4:$F$1048576,"&gt;=2022/7/1",顧客データ!$F$4:$F$1048576,"&lt;=2022/7/31",顧客データ!$G$4:$G$1048576,"=直TEL",顧客データ!$H$4:$H$1048576,"=見学")</f>
        <v>0</v>
      </c>
      <c r="Y9" s="2">
        <f>COUNTIFS(顧客データ!$F$4:$F$1048576,"&gt;=2022/7/1",顧客データ!$F$4:$F$1048576,"&lt;=2022/7/31",顧客データ!$G$4:$G$1048576,"=直TEL",顧客データ!$H$4:$H$1048576,"=フェア",顧客データ!$J$4:$J$1048576,"&gt;=2022/7/1")+COUNTIFS(顧客データ!$F$4:$F$1048576,"&gt;=2022/7/1",顧客データ!$F$4:$F$1048576,"&lt;=2022/7/31",顧客データ!$G$4:$G$1048576,"=直TEL",顧客データ!$H$4:$H$1048576,"=見学",顧客データ!$J$4:$J$1048576,"&gt;=2022/7/1")</f>
        <v>0</v>
      </c>
      <c r="Z9" s="35" t="e">
        <f t="shared" si="15"/>
        <v>#DIV/0!</v>
      </c>
      <c r="AA9" s="2">
        <f>COUNTIFS(顧客データ!$F$4:$F$1048576,"&gt;=2022/7/1",顧客データ!$F$4:$F$1048576,"&lt;=2022/7/31",顧客データ!$G$4:$G$1048576,"=直TEL",顧客データ!$H$4:$H$1048576,"=フェア",顧客データ!$D$4:$D$1048576,"=*成約*")+COUNTIFS(顧客データ!$F$4:$F$1048576,"&gt;=2022/7/1",顧客データ!$F$4:$F$1048576,"&lt;=2022/7/31",顧客データ!$G$4:$G$1048576,"=直TEL",顧客データ!$H$4:$H$1048576,"=見学",顧客データ!$D$4:$D$1048576,"=*成約*")</f>
        <v>0</v>
      </c>
      <c r="AB9" s="35" t="e">
        <f t="shared" si="4"/>
        <v>#DIV/0!</v>
      </c>
      <c r="AD9" t="s">
        <v>14</v>
      </c>
      <c r="AE9" s="2">
        <f>COUNTIFS(顧客データ!$F$4:$F$1048576,"&gt;=2022/7/1",顧客データ!$F$4:$F$1048576,"&lt;=2022/7/31",顧客データ!$G$4:$G$1048576,"=直TEL",顧客データ!$H$4:$H$1048576,"=資料請求")</f>
        <v>0</v>
      </c>
      <c r="AF9" s="2">
        <f>COUNTIFS(顧客データ!$F$4:$F$1048576,"&gt;=2022/7/1",顧客データ!$F$4:$F$1048576,"&lt;=2022/7/31",顧客データ!$G$4:$G$1048576,"=直TEL",顧客データ!$H$4:$H$1048576,"=資料請求",顧客データ!$J$4:$J$1048576,"&gt;=2022/7/1")</f>
        <v>0</v>
      </c>
      <c r="AG9" s="35" t="e">
        <f t="shared" si="16"/>
        <v>#DIV/0!</v>
      </c>
      <c r="AH9" s="2">
        <f>COUNTIFS(顧客データ!$F$4:$F$1048576,"&gt;=2022/7/1",顧客データ!$F$4:$F$1048576,"&lt;=2022/7/31",顧客データ!$G$4:$G$1048576,"=直TEL",顧客データ!$H$4:$H$1048576,"=資料請求",顧客データ!$D$4:$D$1048576,"=*成約*")</f>
        <v>0</v>
      </c>
      <c r="AI9" s="35" t="e">
        <f t="shared" si="5"/>
        <v>#DIV/0!</v>
      </c>
      <c r="AK9" t="s">
        <v>14</v>
      </c>
      <c r="AL9" s="2">
        <f>COUNTIFS(顧客データ!$F$4:$F$1048576,"&gt;=2022/7/1",顧客データ!$F$4:$F$1048576,"&lt;=2022/7/31",顧客データ!$G$4:$G$1048576,"=取引業者紹介")</f>
        <v>3</v>
      </c>
      <c r="AM9" s="2">
        <f>COUNTIFS(顧客データ!$F$4:$F$1048576,"&gt;=2022/7/1",顧客データ!$F$4:$F$1048576,"&lt;=2022/7/31",顧客データ!$G$4:$G$1048576,"=取引業者紹介",顧客データ!$J$4:$J$1048576,"&gt;=2022/7/1")</f>
        <v>3</v>
      </c>
      <c r="AN9" s="35">
        <f t="shared" si="17"/>
        <v>1</v>
      </c>
      <c r="AO9" s="2">
        <f>COUNTIFS(顧客データ!$F$4:$F$1048576,"&gt;=2022/7/1",顧客データ!$F$4:$F$1048576,"&lt;=2022/7/31",顧客データ!$G$4:$G$1048576,"=取引業者紹介",顧客データ!$D$4:$D$1048576,"=*成約*")</f>
        <v>2</v>
      </c>
      <c r="AP9" s="35">
        <f t="shared" si="6"/>
        <v>0.66666666666666663</v>
      </c>
      <c r="AR9" t="s">
        <v>14</v>
      </c>
      <c r="AS9" s="2">
        <f>COUNTIFS(顧客データ!$F$4:$F$1048576,"&gt;=2022/7/1",顧客データ!$F$4:$F$1048576,"&lt;=2022/7/31",顧客データ!$G$4:$G$1048576,"=みんウエ")</f>
        <v>1</v>
      </c>
      <c r="AT9" s="2">
        <f>COUNTIFS(顧客データ!$F$4:$F$1048576,"&gt;=2022/7/1",顧客データ!$F$4:$F$1048576,"&lt;=2022/7/31",顧客データ!$G$4:$G$1048576,"=みんウエ",顧客データ!$J$4:$J$1048576,"&gt;=2022/7/1")</f>
        <v>0</v>
      </c>
      <c r="AU9" s="35">
        <f t="shared" si="18"/>
        <v>0</v>
      </c>
      <c r="AV9" s="2">
        <f>COUNTIFS(顧客データ!$F$4:$F$1048576,"&gt;=2022/7/1",顧客データ!$F$4:$F$1048576,"&lt;=2022/7/31",顧客データ!$G$4:$G$1048576,"=みんウエ",顧客データ!$D$4:$D$1048576,"=*成約*")</f>
        <v>0</v>
      </c>
      <c r="AW9" s="35" t="e">
        <f t="shared" si="7"/>
        <v>#DIV/0!</v>
      </c>
      <c r="AY9" t="s">
        <v>14</v>
      </c>
      <c r="AZ9" s="2">
        <f>COUNTIFS(顧客データ!$F$4:$F$1048576,"&gt;=2022/7/1",顧客データ!$F$4:$F$1048576,"&lt;=2022/7/31",顧客データ!$G$4:$G$1048576,"=小さな結婚式")</f>
        <v>0</v>
      </c>
      <c r="BA9" s="2">
        <f>COUNTIFS(顧客データ!$F$4:$F$1048576,"&gt;=2022/7/1",顧客データ!$F$4:$F$1048576,"&lt;=2022/7/31",顧客データ!$G$4:$G$1048576,"=小さな結婚式",顧客データ!$J$4:$J$1048576,"&gt;=2022/7/1")</f>
        <v>0</v>
      </c>
      <c r="BB9" s="35" t="e">
        <f t="shared" si="19"/>
        <v>#DIV/0!</v>
      </c>
      <c r="BC9" s="2">
        <f>COUNTIFS(顧客データ!$F$4:$F$1048576,"&gt;=2022/7/1",顧客データ!$F$4:$F$1048576,"&lt;=2022/7/31",顧客データ!$G$4:$G$1048576,"=小さな結婚式",顧客データ!$D$4:$D$1048576,"=*成約*")</f>
        <v>0</v>
      </c>
      <c r="BD9" s="35" t="e">
        <f t="shared" si="8"/>
        <v>#DIV/0!</v>
      </c>
      <c r="BF9" t="s">
        <v>14</v>
      </c>
      <c r="BG9" s="2">
        <f>COUNTIFS(顧客データ!$F$4:$F$1048576,"&gt;=2022/7/1",顧客データ!$F$4:$F$1048576,"&lt;=2022/7/31",顧客データ!$G$4:$G$1048576,"=ブラスポ")</f>
        <v>1</v>
      </c>
      <c r="BH9" s="2">
        <f>COUNTIFS(顧客データ!$F$4:$F$1048576,"&gt;=2022/7/1",顧客データ!$F$4:$F$1048576,"&lt;=2022/7/31",顧客データ!$G$4:$G$1048576,"=ブラスポ",顧客データ!$J$4:$J$1048576,"&gt;=2022/7/1")</f>
        <v>1</v>
      </c>
      <c r="BI9" s="35">
        <f t="shared" si="20"/>
        <v>1</v>
      </c>
      <c r="BJ9" s="2">
        <f>COUNTIFS(顧客データ!$F$4:$F$1048576,"&gt;=2022/7/1",顧客データ!$F$4:$F$1048576,"&lt;=2022/7/31",顧客データ!$G$4:$G$1048576,"=ブラスポ",顧客データ!$D$4:$D$1048576,"=*成約*")</f>
        <v>0</v>
      </c>
      <c r="BK9" s="35">
        <f t="shared" si="9"/>
        <v>0</v>
      </c>
      <c r="BM9" t="s">
        <v>14</v>
      </c>
      <c r="BN9" s="2">
        <f>COUNTIFS(顧客データ!$F$4:$F$1048576,"&gt;=2022/7/1",顧客データ!$F$4:$F$1048576,"&lt;=2022/7/31",顧客データ!$G$4:$G$1048576,"=ゼクナビ")</f>
        <v>1</v>
      </c>
      <c r="BO9" s="2">
        <f>COUNTIFS(顧客データ!$F$4:$F$1048576,"&gt;=2022/7/1",顧客データ!$F$4:$F$1048576,"&lt;=2022/7/31",顧客データ!$G$4:$G$1048576,"=ゼクナビ",顧客データ!$J$4:$J$1048576,"&gt;=2022/7/1")</f>
        <v>0</v>
      </c>
      <c r="BP9" s="35">
        <f t="shared" si="21"/>
        <v>0</v>
      </c>
      <c r="BQ9" s="2">
        <f>COUNTIFS(顧客データ!$F$4:$F$1048576,"&gt;=2022/7/1",顧客データ!$F$4:$F$1048576,"&lt;=2022/7/31",顧客データ!$G$4:$G$1048576,"=ゼクナビ",顧客データ!$D$4:$D$1048576,"=*成約*")</f>
        <v>0</v>
      </c>
      <c r="BR9" s="35" t="e">
        <f t="shared" si="10"/>
        <v>#DIV/0!</v>
      </c>
      <c r="BT9" t="s">
        <v>14</v>
      </c>
      <c r="BU9" s="2">
        <f>COUNTIFS(顧客データ!$F$4:$F$1048576,"&gt;=2022/7/1",顧客データ!$F$4:$F$1048576,"&lt;=2022/7/31",顧客データ!$G$4:$G$1048576,"=その他")</f>
        <v>2</v>
      </c>
      <c r="BV9" s="2">
        <f>COUNTIFS(顧客データ!$F$4:$F$1048576,"&gt;=2022/7/1",顧客データ!$F$4:$F$1048576,"&lt;=2022/7/31",顧客データ!$G$4:$G$1048576,"=その他",顧客データ!$J$4:$J$1048576,"&gt;=2022/7/1")</f>
        <v>2</v>
      </c>
      <c r="BW9" s="35">
        <f t="shared" si="22"/>
        <v>1</v>
      </c>
      <c r="BX9" s="2">
        <f>COUNTIFS(顧客データ!$F$4:$F$1048576,"&gt;=2022/7/1",顧客データ!$F$4:$F$1048576,"&lt;=2022/7/31",顧客データ!$G$4:$G$1048576,"=その他",顧客データ!$D$4:$D$1048576,"=*成約*")</f>
        <v>0</v>
      </c>
      <c r="BY9" s="35">
        <f t="shared" si="11"/>
        <v>0</v>
      </c>
    </row>
    <row r="10" spans="2:77" x14ac:dyDescent="0.5">
      <c r="B10" t="s">
        <v>15</v>
      </c>
      <c r="C10" s="2">
        <f t="shared" si="0"/>
        <v>11</v>
      </c>
      <c r="D10" s="2">
        <f t="shared" si="0"/>
        <v>8</v>
      </c>
      <c r="E10" s="35">
        <f t="shared" si="12"/>
        <v>0.72727272727272729</v>
      </c>
      <c r="F10" s="2">
        <f t="shared" si="0"/>
        <v>3</v>
      </c>
      <c r="G10" s="35">
        <f t="shared" si="1"/>
        <v>0.375</v>
      </c>
      <c r="I10" t="s">
        <v>15</v>
      </c>
      <c r="J10" s="2">
        <f>COUNTIFS(顧客データ!$F$4:$F$1048576,"&gt;=2022/8/1",顧客データ!$F$4:$F$1048576,"&lt;=2022/8/31",顧客データ!$G$4:$G$1048576,"=自社HP",顧客データ!$H$4:$H$1048576,"=フェア")+COUNTIFS(顧客データ!$F$4:$F$1048576,"&gt;=2022/8/1",顧客データ!$F$4:$F$1048576,"&lt;=2022/8/31",顧客データ!$G$4:$G$1048576,"=自社HP",顧客データ!$H$4:$H$1048576,"=見学")</f>
        <v>5</v>
      </c>
      <c r="K10" s="2">
        <f>COUNTIFS(顧客データ!$F$4:$F$1048576,"&gt;=2022/8/1",顧客データ!$F$4:$F$1048576,"&lt;=2022/8/31",顧客データ!$G$4:$G$1048576,"=自社HP",顧客データ!$H$4:$H$1048576,"=フェア",顧客データ!$J$4:$J$1048576,"&gt;=2022/8/1")+COUNTIFS(顧客データ!$F$4:$F$1048576,"&gt;=2022/8/1",顧客データ!$F$4:$F$1048576,"&lt;=2022/8/31",顧客データ!$G$4:$G$1048576,"=自社HP",顧客データ!$H$4:$H$1048576,"=見学",顧客データ!$J$4:$J$1048576,"&gt;=2022/8/1")</f>
        <v>5</v>
      </c>
      <c r="L10" s="35">
        <f t="shared" si="13"/>
        <v>1</v>
      </c>
      <c r="M10" s="2">
        <f>COUNTIFS(顧客データ!$F$4:$F$1048576,"&gt;=2022/8/1",顧客データ!$F$4:$F$1048576,"&lt;=2022/8/31",顧客データ!$G$4:$G$1048576,"=自社HP",顧客データ!$H$4:$H$1048576,"=フェア",顧客データ!$D$4:$D$1048576,"=*成約*")+COUNTIFS(顧客データ!$F$4:$F$1048576,"&gt;=2022/8/1",顧客データ!$F$4:$F$1048576,"&lt;=2022/8/31",顧客データ!$G$4:$G$1048576,"=自社HP",顧客データ!$H$4:$H$1048576,"=見学",顧客データ!$D$4:$D$1048576,"=*成約*")</f>
        <v>1</v>
      </c>
      <c r="N10" s="35">
        <f t="shared" si="2"/>
        <v>0.2</v>
      </c>
      <c r="P10" t="s">
        <v>15</v>
      </c>
      <c r="Q10" s="2">
        <f>COUNTIFS(顧客データ!$F$4:$F$1048576,"&gt;=2022/8/1",顧客データ!$F$4:$F$1048576,"&lt;=2022/8/31",顧客データ!$G$4:$G$1048576,"=自社HP",顧客データ!$H$4:$H$1048576,"=資料請求")</f>
        <v>4</v>
      </c>
      <c r="R10" s="2">
        <f>COUNTIFS(顧客データ!$F$4:$F$1048576,"&gt;=2022/8/1",顧客データ!$F$4:$F$1048576,"&lt;=2022/8/31",顧客データ!$G$4:$G$1048576,"=自社HP",顧客データ!$H$4:$H$1048576,"=資料請求",顧客データ!$J$4:$J$1048576,"&gt;=2022/8/1")</f>
        <v>1</v>
      </c>
      <c r="S10" s="35">
        <f t="shared" si="14"/>
        <v>0.25</v>
      </c>
      <c r="T10" s="2">
        <f>COUNTIFS(顧客データ!$F$4:$F$1048576,"&gt;=2022/8/1",顧客データ!$F$4:$F$1048576,"&lt;=2022/8/31",顧客データ!$G$4:$G$1048576,"=自社HP",顧客データ!$H$4:$H$1048576,"=資料請求",顧客データ!$D$4:$D$1048576,"=*成約*")</f>
        <v>0</v>
      </c>
      <c r="U10" s="35">
        <f t="shared" si="3"/>
        <v>0</v>
      </c>
      <c r="W10" t="s">
        <v>15</v>
      </c>
      <c r="X10" s="2">
        <f>COUNTIFS(顧客データ!$F$4:$F$1048576,"&gt;=2022/8/1",顧客データ!$F$4:$F$1048576,"&lt;=2022/8/31",顧客データ!$G$4:$G$1048576,"=直TEL",顧客データ!$H$4:$H$1048576,"=フェア")+COUNTIFS(顧客データ!$F$4:$F$1048576,"&gt;=2022/8/1",顧客データ!$F$4:$F$1048576,"&lt;=2022/8/31",顧客データ!$G$4:$G$1048576,"=直TEL",顧客データ!$H$4:$H$1048576,"=見学")</f>
        <v>0</v>
      </c>
      <c r="Y10" s="2">
        <f>COUNTIFS(顧客データ!$F$4:$F$1048576,"&gt;=2022/8/1",顧客データ!$F$4:$F$1048576,"&lt;=2022/8/31",顧客データ!$G$4:$G$1048576,"=直TEL",顧客データ!$H$4:$H$1048576,"=フェア",顧客データ!$J$4:$J$1048576,"&gt;=2022/8/1")+COUNTIFS(顧客データ!$F$4:$F$1048576,"&gt;=2022/8/1",顧客データ!$F$4:$F$1048576,"&lt;=2022/8/31",顧客データ!$G$4:$G$1048576,"=直TEL",顧客データ!$H$4:$H$1048576,"=見学",顧客データ!$J$4:$J$1048576,"&gt;=2022/8/1")</f>
        <v>0</v>
      </c>
      <c r="Z10" s="35" t="e">
        <f t="shared" si="15"/>
        <v>#DIV/0!</v>
      </c>
      <c r="AA10" s="2">
        <f>COUNTIFS(顧客データ!$F$4:$F$1048576,"&gt;=2022/8/1",顧客データ!$F$4:$F$1048576,"&lt;=2022/8/31",顧客データ!$G$4:$G$1048576,"=直TEL",顧客データ!$H$4:$H$1048576,"=フェア",顧客データ!$D$4:$D$1048576,"=*成約*")+COUNTIFS(顧客データ!$F$4:$F$1048576,"&gt;=2022/8/1",顧客データ!$F$4:$F$1048576,"&lt;=2022/8/31",顧客データ!$G$4:$G$1048576,"=直TEL",顧客データ!$H$4:$H$1048576,"=見学",顧客データ!$D$4:$D$1048576,"=*成約*")</f>
        <v>0</v>
      </c>
      <c r="AB10" s="35" t="e">
        <f t="shared" si="4"/>
        <v>#DIV/0!</v>
      </c>
      <c r="AD10" t="s">
        <v>15</v>
      </c>
      <c r="AE10" s="2">
        <f>COUNTIFS(顧客データ!$F$4:$F$1048576,"&gt;=2022/8/1",顧客データ!$F$4:$F$1048576,"&lt;=2022/8/31",顧客データ!$G$4:$G$1048576,"=直TEL",顧客データ!$H$4:$H$1048576,"=資料請求")</f>
        <v>0</v>
      </c>
      <c r="AF10" s="2">
        <f>COUNTIFS(顧客データ!$F$4:$F$1048576,"&gt;=2022/8/1",顧客データ!$F$4:$F$1048576,"&lt;=2022/8/31",顧客データ!$G$4:$G$1048576,"=直TEL",顧客データ!$H$4:$H$1048576,"=資料請求",顧客データ!$J$4:$J$1048576,"&gt;=2022/8/1")</f>
        <v>0</v>
      </c>
      <c r="AG10" s="35" t="e">
        <f t="shared" si="16"/>
        <v>#DIV/0!</v>
      </c>
      <c r="AH10" s="2">
        <f>COUNTIFS(顧客データ!$F$4:$F$1048576,"&gt;=2022/8/1",顧客データ!$F$4:$F$1048576,"&lt;=2022/8/31",顧客データ!$G$4:$G$1048576,"=直TEL",顧客データ!$H$4:$H$1048576,"=資料請求",顧客データ!$D$4:$D$1048576,"=*成約*")</f>
        <v>0</v>
      </c>
      <c r="AI10" s="35" t="e">
        <f t="shared" si="5"/>
        <v>#DIV/0!</v>
      </c>
      <c r="AK10" t="s">
        <v>15</v>
      </c>
      <c r="AL10" s="2">
        <f>COUNTIFS(顧客データ!$F$4:$F$1048576,"&gt;=2022/8/1",顧客データ!$F$4:$F$1048576,"&lt;=2022/8/31",顧客データ!$G$4:$G$1048576,"=取引業者紹介")</f>
        <v>0</v>
      </c>
      <c r="AM10" s="2">
        <f>COUNTIFS(顧客データ!$F$4:$F$1048576,"&gt;=2022/8/1",顧客データ!$F$4:$F$1048576,"&lt;=2022/8/31",顧客データ!$G$4:$G$1048576,"=取引業者紹介",顧客データ!$J$4:$J$1048576,"&gt;=2022/8/1")</f>
        <v>0</v>
      </c>
      <c r="AN10" s="35" t="e">
        <f t="shared" si="17"/>
        <v>#DIV/0!</v>
      </c>
      <c r="AO10" s="2">
        <f>COUNTIFS(顧客データ!$F$4:$F$1048576,"&gt;=2022/8/1",顧客データ!$F$4:$F$1048576,"&lt;=2022/8/31",顧客データ!$G$4:$G$1048576,"=取引業者紹介",顧客データ!$D$4:$D$1048576,"=*成約*")</f>
        <v>0</v>
      </c>
      <c r="AP10" s="35" t="e">
        <f t="shared" si="6"/>
        <v>#DIV/0!</v>
      </c>
      <c r="AR10" t="s">
        <v>15</v>
      </c>
      <c r="AS10" s="2">
        <f>COUNTIFS(顧客データ!$F$4:$F$1048576,"&gt;=2022/8/1",顧客データ!$F$4:$F$1048576,"&lt;=2022/8/31",顧客データ!$G$4:$G$1048576,"=みんウエ")</f>
        <v>0</v>
      </c>
      <c r="AT10" s="2">
        <f>COUNTIFS(顧客データ!$F$4:$F$1048576,"&gt;=2022/8/1",顧客データ!$F$4:$F$1048576,"&lt;=2022/8/31",顧客データ!$G$4:$G$1048576,"=みんウエ",顧客データ!$J$4:$J$1048576,"&gt;=2022/8/1")</f>
        <v>0</v>
      </c>
      <c r="AU10" s="35" t="e">
        <f t="shared" si="18"/>
        <v>#DIV/0!</v>
      </c>
      <c r="AV10" s="2">
        <f>COUNTIFS(顧客データ!$F$4:$F$1048576,"&gt;=2022/8/1",顧客データ!$F$4:$F$1048576,"&lt;=2022/8/31",顧客データ!$G$4:$G$1048576,"=みんウエ",顧客データ!$D$4:$D$1048576,"=*成約*")</f>
        <v>0</v>
      </c>
      <c r="AW10" s="35" t="e">
        <f t="shared" si="7"/>
        <v>#DIV/0!</v>
      </c>
      <c r="AY10" t="s">
        <v>15</v>
      </c>
      <c r="AZ10" s="2">
        <f>COUNTIFS(顧客データ!$F$4:$F$1048576,"&gt;=2022/8/1",顧客データ!$F$4:$F$1048576,"&lt;=2022/8/31",顧客データ!$G$4:$G$1048576,"=小さな結婚式")</f>
        <v>0</v>
      </c>
      <c r="BA10" s="2">
        <f>COUNTIFS(顧客データ!$F$4:$F$1048576,"&gt;=2022/8/1",顧客データ!$F$4:$F$1048576,"&lt;=2022/8/31",顧客データ!$G$4:$G$1048576,"=小さな結婚式",顧客データ!$J$4:$J$1048576,"&gt;=2022/8/1")</f>
        <v>0</v>
      </c>
      <c r="BB10" s="35" t="e">
        <f t="shared" si="19"/>
        <v>#DIV/0!</v>
      </c>
      <c r="BC10" s="2">
        <f>COUNTIFS(顧客データ!$F$4:$F$1048576,"&gt;=2022/8/1",顧客データ!$F$4:$F$1048576,"&lt;=2022/8/31",顧客データ!$G$4:$G$1048576,"=小さな結婚式",顧客データ!$D$4:$D$1048576,"=*成約*")</f>
        <v>0</v>
      </c>
      <c r="BD10" s="35" t="e">
        <f t="shared" si="8"/>
        <v>#DIV/0!</v>
      </c>
      <c r="BF10" t="s">
        <v>15</v>
      </c>
      <c r="BG10" s="2">
        <f>COUNTIFS(顧客データ!$F$4:$F$1048576,"&gt;=2022/8/1",顧客データ!$F$4:$F$1048576,"&lt;=2022/8/31",顧客データ!$G$4:$G$1048576,"=ブラスポ")</f>
        <v>0</v>
      </c>
      <c r="BH10" s="2">
        <f>COUNTIFS(顧客データ!$F$4:$F$1048576,"&gt;=2022/8/1",顧客データ!$F$4:$F$1048576,"&lt;=2022/8/31",顧客データ!$G$4:$G$1048576,"=ブラスポ",顧客データ!$J$4:$J$1048576,"&gt;=2022/8/1")</f>
        <v>0</v>
      </c>
      <c r="BI10" s="35" t="e">
        <f t="shared" si="20"/>
        <v>#DIV/0!</v>
      </c>
      <c r="BJ10" s="2">
        <f>COUNTIFS(顧客データ!$F$4:$F$1048576,"&gt;=2022/8/1",顧客データ!$F$4:$F$1048576,"&lt;=2022/8/31",顧客データ!$G$4:$G$1048576,"=ブラスポ",顧客データ!$D$4:$D$1048576,"=*成約*")</f>
        <v>0</v>
      </c>
      <c r="BK10" s="35" t="e">
        <f t="shared" si="9"/>
        <v>#DIV/0!</v>
      </c>
      <c r="BM10" t="s">
        <v>15</v>
      </c>
      <c r="BN10" s="2">
        <f>COUNTIFS(顧客データ!$F$4:$F$1048576,"&gt;=2022/8/1",顧客データ!$F$4:$F$1048576,"&lt;=2022/8/31",顧客データ!$G$4:$G$1048576,"=ゼクナビ")</f>
        <v>0</v>
      </c>
      <c r="BO10" s="2">
        <f>COUNTIFS(顧客データ!$F$4:$F$1048576,"&gt;=2022/8/1",顧客データ!$F$4:$F$1048576,"&lt;=2022/8/31",顧客データ!$G$4:$G$1048576,"=ゼクナビ",顧客データ!$J$4:$J$1048576,"&gt;=2022/8/1")</f>
        <v>0</v>
      </c>
      <c r="BP10" s="35" t="e">
        <f t="shared" si="21"/>
        <v>#DIV/0!</v>
      </c>
      <c r="BQ10" s="2">
        <f>COUNTIFS(顧客データ!$F$4:$F$1048576,"&gt;=2022/8/1",顧客データ!$F$4:$F$1048576,"&lt;=2022/8/31",顧客データ!$G$4:$G$1048576,"=ゼクナビ",顧客データ!$D$4:$D$1048576,"=*成約*")</f>
        <v>0</v>
      </c>
      <c r="BR10" s="35" t="e">
        <f t="shared" si="10"/>
        <v>#DIV/0!</v>
      </c>
      <c r="BT10" t="s">
        <v>15</v>
      </c>
      <c r="BU10" s="2">
        <f>COUNTIFS(顧客データ!$F$4:$F$1048576,"&gt;=2022/8/1",顧客データ!$F$4:$F$1048576,"&lt;=2022/8/31",顧客データ!$G$4:$G$1048576,"=その他")</f>
        <v>2</v>
      </c>
      <c r="BV10" s="2">
        <f>COUNTIFS(顧客データ!$F$4:$F$1048576,"&gt;=2022/8/1",顧客データ!$F$4:$F$1048576,"&lt;=2022/8/31",顧客データ!$G$4:$G$1048576,"=その他",顧客データ!$J$4:$J$1048576,"&gt;=2022/8/1")</f>
        <v>2</v>
      </c>
      <c r="BW10" s="35">
        <f t="shared" si="22"/>
        <v>1</v>
      </c>
      <c r="BX10" s="2">
        <f>COUNTIFS(顧客データ!$F$4:$F$1048576,"&gt;=2022/8/1",顧客データ!$F$4:$F$1048576,"&lt;=2022/8/31",顧客データ!$G$4:$G$1048576,"=その他",顧客データ!$D$4:$D$1048576,"=*成約*")</f>
        <v>2</v>
      </c>
      <c r="BY10" s="35">
        <f t="shared" si="11"/>
        <v>1</v>
      </c>
    </row>
    <row r="11" spans="2:77" x14ac:dyDescent="0.5">
      <c r="B11" t="s">
        <v>16</v>
      </c>
      <c r="C11" s="2">
        <f t="shared" si="0"/>
        <v>13</v>
      </c>
      <c r="D11" s="2">
        <f t="shared" si="0"/>
        <v>10</v>
      </c>
      <c r="E11" s="35">
        <f t="shared" si="12"/>
        <v>0.76923076923076927</v>
      </c>
      <c r="F11" s="2">
        <f t="shared" si="0"/>
        <v>4</v>
      </c>
      <c r="G11" s="35">
        <f t="shared" si="1"/>
        <v>0.4</v>
      </c>
      <c r="I11" t="s">
        <v>16</v>
      </c>
      <c r="J11" s="2">
        <f>COUNTIFS(顧客データ!$F$4:$F$1048576,"&gt;=2022/9/1",顧客データ!$F$4:$F$1048576,"&lt;=2022/9/30",顧客データ!$G$4:$G$1048576,"=自社HP",顧客データ!$H$4:$H$1048576,"=フェア")+COUNTIFS(顧客データ!$F$4:$F$1048576,"&gt;=2022/9/1",顧客データ!$F$4:$F$1048576,"&lt;=2022/9/30",顧客データ!$G$4:$G$1048576,"=自社HP",顧客データ!$H$4:$H$1048576,"=見学")</f>
        <v>10</v>
      </c>
      <c r="K11" s="2">
        <f>COUNTIFS(顧客データ!$F$4:$F$1048576,"&gt;=2022/9/1",顧客データ!$F$4:$F$1048576,"&lt;=2022/9/30",顧客データ!$G$4:$G$1048576,"=自社HP",顧客データ!$H$4:$H$1048576,"=フェア",顧客データ!$J$4:$J$1048576,"&gt;=2022/9/1")+COUNTIFS(顧客データ!$F$4:$F$1048576,"&gt;=2022/9/1",顧客データ!$F$4:$F$1048576,"&lt;=2022/9/30",顧客データ!$G$4:$G$1048576,"=自社HP",顧客データ!$H$4:$H$1048576,"=見学",顧客データ!$J$4:$J$1048576,"&gt;=2022/9/1")</f>
        <v>9</v>
      </c>
      <c r="L11" s="35">
        <f t="shared" si="13"/>
        <v>0.9</v>
      </c>
      <c r="M11" s="2">
        <f>COUNTIFS(顧客データ!$F$4:$F$1048576,"&gt;=2022/9/1",顧客データ!$F$4:$F$1048576,"&lt;=2022/9/30",顧客データ!$G$4:$G$1048576,"=自社HP",顧客データ!$H$4:$H$1048576,"=フェア",顧客データ!$D$4:$D$1048576,"=*成約*")+COUNTIFS(顧客データ!$F$4:$F$1048576,"&gt;=2022/9/1",顧客データ!$F$4:$F$1048576,"&lt;=2022/9/30",顧客データ!$G$4:$G$1048576,"=自社HP",顧客データ!$H$4:$H$1048576,"=見学",顧客データ!$D$4:$D$1048576,"=*成約*")</f>
        <v>3</v>
      </c>
      <c r="N11" s="35">
        <f t="shared" si="2"/>
        <v>0.33333333333333331</v>
      </c>
      <c r="P11" t="s">
        <v>16</v>
      </c>
      <c r="Q11" s="2">
        <f>COUNTIFS(顧客データ!$F$4:$F$1048576,"&gt;=2022/9/1",顧客データ!$F$4:$F$1048576,"&lt;=2022/9/30",顧客データ!$G$4:$G$1048576,"=自社HP",顧客データ!$H$4:$H$1048576,"=資料請求")</f>
        <v>1</v>
      </c>
      <c r="R11" s="2">
        <f>COUNTIFS(顧客データ!$F$4:$F$1048576,"&gt;=2022/9/1",顧客データ!$F$4:$F$1048576,"&lt;=2022/9/30",顧客データ!$G$4:$G$1048576,"=自社HP",顧客データ!$H$4:$H$1048576,"=資料請求",顧客データ!$J$4:$J$1048576,"&gt;=2022/9/1")</f>
        <v>0</v>
      </c>
      <c r="S11" s="35">
        <f t="shared" si="14"/>
        <v>0</v>
      </c>
      <c r="T11" s="2">
        <f>COUNTIFS(顧客データ!$F$4:$F$1048576,"&gt;=2022/9/1",顧客データ!$F$4:$F$1048576,"&lt;=2022/9/30",顧客データ!$G$4:$G$1048576,"=自社HP",顧客データ!$H$4:$H$1048576,"=資料請求",顧客データ!$D$4:$D$1048576,"=*成約*")</f>
        <v>0</v>
      </c>
      <c r="U11" s="35" t="e">
        <f t="shared" si="3"/>
        <v>#DIV/0!</v>
      </c>
      <c r="W11" t="s">
        <v>16</v>
      </c>
      <c r="X11" s="2">
        <f>COUNTIFS(顧客データ!$F$4:$F$1048576,"&gt;=2022/9/1",顧客データ!$F$4:$F$1048576,"&lt;=2022/9/30",顧客データ!$G$4:$G$1048576,"=直TEL",顧客データ!$H$4:$H$1048576,"=フェア")+COUNTIFS(顧客データ!$F$4:$F$1048576,"&gt;=2022/9/1",顧客データ!$F$4:$F$1048576,"&lt;=2022/9/30",顧客データ!$G$4:$G$1048576,"=直TEL",顧客データ!$H$4:$H$1048576,"=見学")</f>
        <v>0</v>
      </c>
      <c r="Y11" s="2">
        <f>COUNTIFS(顧客データ!$F$4:$F$1048576,"&gt;=2022/9/1",顧客データ!$F$4:$F$1048576,"&lt;=2022/9/30",顧客データ!$G$4:$G$1048576,"=直TEL",顧客データ!$H$4:$H$1048576,"=フェア",顧客データ!$J$4:$J$1048576,"&gt;=2022/9/1")+COUNTIFS(顧客データ!$F$4:$F$1048576,"&gt;=2022/9/1",顧客データ!$F$4:$F$1048576,"&lt;=2022/9/30",顧客データ!$G$4:$G$1048576,"=直TEL",顧客データ!$H$4:$H$1048576,"=見学",顧客データ!$J$4:$J$1048576,"&gt;=2022/9/1")</f>
        <v>0</v>
      </c>
      <c r="Z11" s="35" t="e">
        <f t="shared" si="15"/>
        <v>#DIV/0!</v>
      </c>
      <c r="AA11" s="2">
        <f>COUNTIFS(顧客データ!$F$4:$F$1048576,"&gt;=2022/9/1",顧客データ!$F$4:$F$1048576,"&lt;=2022/9/30",顧客データ!$G$4:$G$1048576,"=直TEL",顧客データ!$H$4:$H$1048576,"=フェア",顧客データ!$D$4:$D$1048576,"=*成約*")+COUNTIFS(顧客データ!$F$4:$F$1048576,"&gt;=2022/9/1",顧客データ!$F$4:$F$1048576,"&lt;=2022/9/30",顧客データ!$G$4:$G$1048576,"=直TEL",顧客データ!$H$4:$H$1048576,"=見学",顧客データ!$D$4:$D$1048576,"=*成約*")</f>
        <v>0</v>
      </c>
      <c r="AB11" s="35" t="e">
        <f t="shared" si="4"/>
        <v>#DIV/0!</v>
      </c>
      <c r="AD11" t="s">
        <v>16</v>
      </c>
      <c r="AE11" s="2">
        <f>COUNTIFS(顧客データ!$F$4:$F$1048576,"&gt;=2022/9/1",顧客データ!$F$4:$F$1048576,"&lt;=2022/9/30",顧客データ!$G$4:$G$1048576,"=直TEL",顧客データ!$H$4:$H$1048576,"=資料請求")</f>
        <v>0</v>
      </c>
      <c r="AF11" s="2">
        <f>COUNTIFS(顧客データ!$F$4:$F$1048576,"&gt;=2022/9/1",顧客データ!$F$4:$F$1048576,"&lt;=2022/9/30",顧客データ!$G$4:$G$1048576,"=直TEL",顧客データ!$H$4:$H$1048576,"=資料請求",顧客データ!$J$4:$J$1048576,"&gt;=2022/9/1")</f>
        <v>0</v>
      </c>
      <c r="AG11" s="35" t="e">
        <f t="shared" si="16"/>
        <v>#DIV/0!</v>
      </c>
      <c r="AH11" s="2">
        <f>COUNTIFS(顧客データ!$F$4:$F$1048576,"&gt;=2022/9/1",顧客データ!$F$4:$F$1048576,"&lt;=2022/9/30",顧客データ!$G$4:$G$1048576,"=直TEL",顧客データ!$H$4:$H$1048576,"=資料請求",顧客データ!$D$4:$D$1048576,"=*成約*")</f>
        <v>0</v>
      </c>
      <c r="AI11" s="35" t="e">
        <f t="shared" si="5"/>
        <v>#DIV/0!</v>
      </c>
      <c r="AK11" t="s">
        <v>16</v>
      </c>
      <c r="AL11" s="2">
        <f>COUNTIFS(顧客データ!$F$4:$F$1048576,"&gt;=2022/9/1",顧客データ!$F$4:$F$1048576,"&lt;=2022/9/30",顧客データ!$G$4:$G$1048576,"=取引業者紹介")</f>
        <v>1</v>
      </c>
      <c r="AM11" s="2">
        <f>COUNTIFS(顧客データ!$F$4:$F$1048576,"&gt;=2022/9/1",顧客データ!$F$4:$F$1048576,"&lt;=2022/9/30",顧客データ!$G$4:$G$1048576,"=取引業者紹介",顧客データ!$J$4:$J$1048576,"&gt;=2022/9/1")</f>
        <v>0</v>
      </c>
      <c r="AN11" s="35">
        <f t="shared" si="17"/>
        <v>0</v>
      </c>
      <c r="AO11" s="2">
        <f>COUNTIFS(顧客データ!$F$4:$F$1048576,"&gt;=2022/9/1",顧客データ!$F$4:$F$1048576,"&lt;=2022/9/30",顧客データ!$G$4:$G$1048576,"=取引業者紹介",顧客データ!$D$4:$D$1048576,"=*成約*")</f>
        <v>0</v>
      </c>
      <c r="AP11" s="35" t="e">
        <f t="shared" si="6"/>
        <v>#DIV/0!</v>
      </c>
      <c r="AR11" t="s">
        <v>16</v>
      </c>
      <c r="AS11" s="2">
        <f>COUNTIFS(顧客データ!$F$4:$F$1048576,"&gt;=2022/9/1",顧客データ!$F$4:$F$1048576,"&lt;=2022/9/30",顧客データ!$G$4:$G$1048576,"=みんウエ")</f>
        <v>0</v>
      </c>
      <c r="AT11" s="2">
        <f>COUNTIFS(顧客データ!$F$4:$F$1048576,"&gt;=2022/9/1",顧客データ!$F$4:$F$1048576,"&lt;=2022/9/30",顧客データ!$G$4:$G$1048576,"=みんウエ",顧客データ!$J$4:$J$1048576,"&gt;=2022/9/1")</f>
        <v>0</v>
      </c>
      <c r="AU11" s="35" t="e">
        <f t="shared" si="18"/>
        <v>#DIV/0!</v>
      </c>
      <c r="AV11" s="2">
        <f>COUNTIFS(顧客データ!$F$4:$F$1048576,"&gt;=2022/9/1",顧客データ!$F$4:$F$1048576,"&lt;=2022/9/30",顧客データ!$G$4:$G$1048576,"=みんウエ",顧客データ!$D$4:$D$1048576,"=*成約*")</f>
        <v>0</v>
      </c>
      <c r="AW11" s="35" t="e">
        <f t="shared" si="7"/>
        <v>#DIV/0!</v>
      </c>
      <c r="AY11" t="s">
        <v>16</v>
      </c>
      <c r="AZ11" s="2">
        <f>COUNTIFS(顧客データ!$F$4:$F$1048576,"&gt;=2022/9/1",顧客データ!$F$4:$F$1048576,"&lt;=2022/9/30",顧客データ!$G$4:$G$1048576,"=小さな結婚式")</f>
        <v>1</v>
      </c>
      <c r="BA11" s="2">
        <f>COUNTIFS(顧客データ!$F$4:$F$1048576,"&gt;=2022/9/1",顧客データ!$F$4:$F$1048576,"&lt;=2022/9/30",顧客データ!$G$4:$G$1048576,"=小さな結婚式",顧客データ!$J$4:$J$1048576,"&gt;=2022/9/1")</f>
        <v>1</v>
      </c>
      <c r="BB11" s="35">
        <f t="shared" si="19"/>
        <v>1</v>
      </c>
      <c r="BC11" s="2">
        <f>COUNTIFS(顧客データ!$F$4:$F$1048576,"&gt;=2022/9/1",顧客データ!$F$4:$F$1048576,"&lt;=2022/9/30",顧客データ!$G$4:$G$1048576,"=小さな結婚式",顧客データ!$D$4:$D$1048576,"=*成約*")</f>
        <v>1</v>
      </c>
      <c r="BD11" s="35">
        <f t="shared" si="8"/>
        <v>1</v>
      </c>
      <c r="BF11" t="s">
        <v>16</v>
      </c>
      <c r="BG11" s="2">
        <f>COUNTIFS(顧客データ!$F$4:$F$1048576,"&gt;=2022/9/1",顧客データ!$F$4:$F$1048576,"&lt;=2022/9/30",顧客データ!$G$4:$G$1048576,"=ブラスポ")</f>
        <v>0</v>
      </c>
      <c r="BH11" s="2">
        <f>COUNTIFS(顧客データ!$F$4:$F$1048576,"&gt;=2022/9/1",顧客データ!$F$4:$F$1048576,"&lt;=2022/9/30",顧客データ!$G$4:$G$1048576,"=ブラスポ",顧客データ!$J$4:$J$1048576,"&gt;=2022/9/1")</f>
        <v>0</v>
      </c>
      <c r="BI11" s="35" t="e">
        <f t="shared" si="20"/>
        <v>#DIV/0!</v>
      </c>
      <c r="BJ11" s="2">
        <f>COUNTIFS(顧客データ!$F$4:$F$1048576,"&gt;=2022/9/1",顧客データ!$F$4:$F$1048576,"&lt;=2022/9/30",顧客データ!$G$4:$G$1048576,"=ブラスポ",顧客データ!$D$4:$D$1048576,"=*成約*")</f>
        <v>0</v>
      </c>
      <c r="BK11" s="35" t="e">
        <f t="shared" si="9"/>
        <v>#DIV/0!</v>
      </c>
      <c r="BM11" t="s">
        <v>16</v>
      </c>
      <c r="BN11" s="2">
        <f>COUNTIFS(顧客データ!$F$4:$F$1048576,"&gt;=2022/9/1",顧客データ!$F$4:$F$1048576,"&lt;=2022/9/30",顧客データ!$G$4:$G$1048576,"=ゼクナビ")</f>
        <v>0</v>
      </c>
      <c r="BO11" s="2">
        <f>COUNTIFS(顧客データ!$F$4:$F$1048576,"&gt;=2022/9/1",顧客データ!$F$4:$F$1048576,"&lt;=2022/9/30",顧客データ!$G$4:$G$1048576,"=ゼクナビ",顧客データ!$J$4:$J$1048576,"&gt;=2022/9/1")</f>
        <v>0</v>
      </c>
      <c r="BP11" s="35" t="e">
        <f t="shared" si="21"/>
        <v>#DIV/0!</v>
      </c>
      <c r="BQ11" s="2">
        <f>COUNTIFS(顧客データ!$F$4:$F$1048576,"&gt;=2022/9/1",顧客データ!$F$4:$F$1048576,"&lt;=2022/9/30",顧客データ!$G$4:$G$1048576,"=ゼクナビ",顧客データ!$D$4:$D$1048576,"=*成約*")</f>
        <v>0</v>
      </c>
      <c r="BR11" s="35" t="e">
        <f t="shared" si="10"/>
        <v>#DIV/0!</v>
      </c>
      <c r="BT11" t="s">
        <v>16</v>
      </c>
      <c r="BU11" s="2">
        <f>COUNTIFS(顧客データ!$F$4:$F$1048576,"&gt;=2022/9/1",顧客データ!$F$4:$F$1048576,"&lt;=2022/9/30",顧客データ!$G$4:$G$1048576,"=その他")</f>
        <v>0</v>
      </c>
      <c r="BV11" s="2">
        <f>COUNTIFS(顧客データ!$F$4:$F$1048576,"&gt;=2022/9/1",顧客データ!$F$4:$F$1048576,"&lt;=2022/9/30",顧客データ!$G$4:$G$1048576,"=その他",顧客データ!$J$4:$J$1048576,"&gt;=2022/9/1")</f>
        <v>0</v>
      </c>
      <c r="BW11" s="35" t="e">
        <f t="shared" si="22"/>
        <v>#DIV/0!</v>
      </c>
      <c r="BX11" s="2">
        <f>COUNTIFS(顧客データ!$F$4:$F$1048576,"&gt;=2022/9/1",顧客データ!$F$4:$F$1048576,"&lt;=2022/9/30",顧客データ!$G$4:$G$1048576,"=その他",顧客データ!$D$4:$D$1048576,"=*成約*")</f>
        <v>0</v>
      </c>
      <c r="BY11" s="35" t="e">
        <f t="shared" si="11"/>
        <v>#DIV/0!</v>
      </c>
    </row>
    <row r="12" spans="2:77" x14ac:dyDescent="0.5">
      <c r="B12" t="s">
        <v>17</v>
      </c>
      <c r="C12" s="2">
        <f t="shared" si="0"/>
        <v>13</v>
      </c>
      <c r="D12" s="2">
        <f t="shared" si="0"/>
        <v>10</v>
      </c>
      <c r="E12" s="35">
        <f t="shared" si="12"/>
        <v>0.76923076923076927</v>
      </c>
      <c r="F12" s="2">
        <f t="shared" si="0"/>
        <v>3</v>
      </c>
      <c r="G12" s="35">
        <f t="shared" si="1"/>
        <v>0.3</v>
      </c>
      <c r="I12" t="s">
        <v>17</v>
      </c>
      <c r="J12" s="2">
        <f>COUNTIFS(顧客データ!$F$4:$F$1048576,"&gt;=2022/10/1",顧客データ!$F$4:$F$1048576,"&lt;=2022/10/31",顧客データ!$G$4:$G$1048576,"=自社HP",顧客データ!$H$4:$H$1048576,"=フェア")+COUNTIFS(顧客データ!$F$4:$F$1048576,"&gt;=2022/10/1",顧客データ!$F$4:$F$1048576,"&lt;=2022/10/31",顧客データ!$G$4:$G$1048576,"=自社HP",顧客データ!$H$4:$H$1048576,"=見学")</f>
        <v>5</v>
      </c>
      <c r="K12" s="2">
        <f>COUNTIFS(顧客データ!$F$4:$F$1048576,"&gt;=2022/10/1",顧客データ!$F$4:$F$1048576,"&lt;=2022/10/31",顧客データ!$G$4:$G$1048576,"=自社HP",顧客データ!$H$4:$H$1048576,"=フェア",顧客データ!$J$4:$J$1048576,"&gt;=2022/10/1")+COUNTIFS(顧客データ!$F$4:$F$1048576,"&gt;=2022/10/1",顧客データ!$F$4:$F$1048576,"&lt;=2022/10/31",顧客データ!$G$4:$G$1048576,"=自社HP",顧客データ!$H$4:$H$1048576,"=見学",顧客データ!$J$4:$J$1048576,"&gt;=2022/10/1")</f>
        <v>4</v>
      </c>
      <c r="L12" s="35">
        <f t="shared" si="13"/>
        <v>0.8</v>
      </c>
      <c r="M12" s="2">
        <f>COUNTIFS(顧客データ!$F$4:$F$1048576,"&gt;=2022/10/1",顧客データ!$F$4:$F$1048576,"&lt;=2022/10/31",顧客データ!$G$4:$G$1048576,"=自社HP",顧客データ!$H$4:$H$1048576,"=フェア",顧客データ!$D$4:$D$1048576,"=*成約*")+COUNTIFS(顧客データ!$F$4:$F$1048576,"&gt;=2022/10/1",顧客データ!$F$4:$F$1048576,"&lt;=2022/10/31",顧客データ!$G$4:$G$1048576,"=自社HP",顧客データ!$H$4:$H$1048576,"=見学",顧客データ!$D$4:$D$1048576,"=*成約*")</f>
        <v>2</v>
      </c>
      <c r="N12" s="35">
        <f t="shared" si="2"/>
        <v>0.5</v>
      </c>
      <c r="P12" t="s">
        <v>17</v>
      </c>
      <c r="Q12" s="2">
        <f>COUNTIFS(顧客データ!$F$4:$F$1048576,"&gt;=2022/10/1",顧客データ!$F$4:$F$1048576,"&lt;=2022/10/31",顧客データ!$G$4:$G$1048576,"=自社HP",顧客データ!$H$4:$H$1048576,"=資料請求")</f>
        <v>2</v>
      </c>
      <c r="R12" s="2">
        <f>COUNTIFS(顧客データ!$F$4:$F$1048576,"&gt;=2022/10/1",顧客データ!$F$4:$F$1048576,"&lt;=2022/10/31",顧客データ!$G$4:$G$1048576,"=自社HP",顧客データ!$H$4:$H$1048576,"=資料請求",顧客データ!$J$4:$J$1048576,"&gt;=2022/10/1")</f>
        <v>0</v>
      </c>
      <c r="S12" s="35">
        <f t="shared" si="14"/>
        <v>0</v>
      </c>
      <c r="T12" s="2">
        <f>COUNTIFS(顧客データ!$F$4:$F$1048576,"&gt;=2022/10/1",顧客データ!$F$4:$F$1048576,"&lt;=2022/10/31",顧客データ!$G$4:$G$1048576,"=自社HP",顧客データ!$H$4:$H$1048576,"=資料請求",顧客データ!$D$4:$D$1048576,"=*成約*")</f>
        <v>0</v>
      </c>
      <c r="U12" s="35" t="e">
        <f t="shared" si="3"/>
        <v>#DIV/0!</v>
      </c>
      <c r="W12" t="s">
        <v>17</v>
      </c>
      <c r="X12" s="2">
        <f>COUNTIFS(顧客データ!$F$4:$F$1048576,"&gt;=2022/10/1",顧客データ!$F$4:$F$1048576,"&lt;=2022/10/31",顧客データ!$G$4:$G$1048576,"=直TEL",顧客データ!$H$4:$H$1048576,"=フェア")+COUNTIFS(顧客データ!$F$4:$F$1048576,"&gt;=2022/10/1",顧客データ!$F$4:$F$1048576,"&lt;=2022/10/31",顧客データ!$G$4:$G$1048576,"=直TEL",顧客データ!$H$4:$H$1048576,"=見学")</f>
        <v>0</v>
      </c>
      <c r="Y12" s="2">
        <f>COUNTIFS(顧客データ!$F$4:$F$1048576,"&gt;=2022/10/1",顧客データ!$F$4:$F$1048576,"&lt;=2022/10/31",顧客データ!$G$4:$G$1048576,"=直TEL",顧客データ!$H$4:$H$1048576,"=フェア",顧客データ!$J$4:$J$1048576,"&gt;=2022/10/1")+COUNTIFS(顧客データ!$F$4:$F$1048576,"&gt;=2022/10/1",顧客データ!$F$4:$F$1048576,"&lt;=2022/10/31",顧客データ!$G$4:$G$1048576,"=直TEL",顧客データ!$H$4:$H$1048576,"=見学",顧客データ!$J$4:$J$1048576,"&gt;=2022/10/1")</f>
        <v>0</v>
      </c>
      <c r="Z12" s="35" t="e">
        <f t="shared" si="15"/>
        <v>#DIV/0!</v>
      </c>
      <c r="AA12" s="2">
        <f>COUNTIFS(顧客データ!$F$4:$F$1048576,"&gt;=2022/10/1",顧客データ!$F$4:$F$1048576,"&lt;=2022/10/31",顧客データ!$G$4:$G$1048576,"=直TEL",顧客データ!$H$4:$H$1048576,"=フェア",顧客データ!$D$4:$D$1048576,"=*成約*")+COUNTIFS(顧客データ!$F$4:$F$1048576,"&gt;=2022/10/1",顧客データ!$F$4:$F$1048576,"&lt;=2022/10/31",顧客データ!$G$4:$G$1048576,"=直TEL",顧客データ!$H$4:$H$1048576,"=見学",顧客データ!$D$4:$D$1048576,"=*成約*")</f>
        <v>0</v>
      </c>
      <c r="AB12" s="35" t="e">
        <f t="shared" si="4"/>
        <v>#DIV/0!</v>
      </c>
      <c r="AD12" t="s">
        <v>17</v>
      </c>
      <c r="AE12" s="2">
        <f>COUNTIFS(顧客データ!$F$4:$F$1048576,"&gt;=2022/10/1",顧客データ!$F$4:$F$1048576,"&lt;=2022/10/31",顧客データ!$G$4:$G$1048576,"=直TEL",顧客データ!$H$4:$H$1048576,"=資料請求")</f>
        <v>0</v>
      </c>
      <c r="AF12" s="2">
        <f>COUNTIFS(顧客データ!$F$4:$F$1048576,"&gt;=2022/10/1",顧客データ!$F$4:$F$1048576,"&lt;=2022/10/31",顧客データ!$G$4:$G$1048576,"=直TEL",顧客データ!$H$4:$H$1048576,"=資料請求",顧客データ!$J$4:$J$1048576,"&gt;=2022/10/1")</f>
        <v>0</v>
      </c>
      <c r="AG12" s="35" t="e">
        <f t="shared" si="16"/>
        <v>#DIV/0!</v>
      </c>
      <c r="AH12" s="2">
        <f>COUNTIFS(顧客データ!$F$4:$F$1048576,"&gt;=2022/10/1",顧客データ!$F$4:$F$1048576,"&lt;=2022/10/31",顧客データ!$G$4:$G$1048576,"=直TEL",顧客データ!$H$4:$H$1048576,"=資料請求",顧客データ!$D$4:$D$1048576,"=*成約*")</f>
        <v>0</v>
      </c>
      <c r="AI12" s="35" t="e">
        <f t="shared" si="5"/>
        <v>#DIV/0!</v>
      </c>
      <c r="AK12" t="s">
        <v>17</v>
      </c>
      <c r="AL12" s="2">
        <f>COUNTIFS(顧客データ!$F$4:$F$1048576,"&gt;=2022/10/1",顧客データ!$F$4:$F$1048576,"&lt;=2022/10/31",顧客データ!$G$4:$G$1048576,"=取引業者紹介")</f>
        <v>1</v>
      </c>
      <c r="AM12" s="2">
        <f>COUNTIFS(顧客データ!$F$4:$F$1048576,"&gt;=2022/10/1",顧客データ!$F$4:$F$1048576,"&lt;=2022/10/31",顧客データ!$G$4:$G$1048576,"=取引業者紹介",顧客データ!$J$4:$J$1048576,"&gt;=2022/10/1")</f>
        <v>1</v>
      </c>
      <c r="AN12" s="35">
        <f t="shared" si="17"/>
        <v>1</v>
      </c>
      <c r="AO12" s="2">
        <f>COUNTIFS(顧客データ!$F$4:$F$1048576,"&gt;=2022/10/1",顧客データ!$F$4:$F$1048576,"&lt;=2022/10/31",顧客データ!$G$4:$G$1048576,"=取引業者紹介",顧客データ!$D$4:$D$1048576,"=*成約*")</f>
        <v>0</v>
      </c>
      <c r="AP12" s="35">
        <f t="shared" si="6"/>
        <v>0</v>
      </c>
      <c r="AR12" t="s">
        <v>17</v>
      </c>
      <c r="AS12" s="2">
        <f>COUNTIFS(顧客データ!$F$4:$F$1048576,"&gt;=2022/10/1",顧客データ!$F$4:$F$1048576,"&lt;=2022/10/31",顧客データ!$G$4:$G$1048576,"=みんウエ")</f>
        <v>0</v>
      </c>
      <c r="AT12" s="2">
        <f>COUNTIFS(顧客データ!$F$4:$F$1048576,"&gt;=2022/10/1",顧客データ!$F$4:$F$1048576,"&lt;=2022/10/31",顧客データ!$G$4:$G$1048576,"=みんウエ",顧客データ!$J$4:$J$1048576,"&gt;=2022/10/1")</f>
        <v>0</v>
      </c>
      <c r="AU12" s="35" t="e">
        <f t="shared" si="18"/>
        <v>#DIV/0!</v>
      </c>
      <c r="AV12" s="2">
        <f>COUNTIFS(顧客データ!$F$4:$F$1048576,"&gt;=2022/10/1",顧客データ!$F$4:$F$1048576,"&lt;=2022/10/31",顧客データ!$G$4:$G$1048576,"=みんウエ",顧客データ!$D$4:$D$1048576,"=*成約*")</f>
        <v>0</v>
      </c>
      <c r="AW12" s="35" t="e">
        <f t="shared" si="7"/>
        <v>#DIV/0!</v>
      </c>
      <c r="AY12" t="s">
        <v>17</v>
      </c>
      <c r="AZ12" s="2">
        <f>COUNTIFS(顧客データ!$F$4:$F$1048576,"&gt;=2022/10/1",顧客データ!$F$4:$F$1048576,"&lt;=2022/10/31",顧客データ!$G$4:$G$1048576,"=小さな結婚式")</f>
        <v>1</v>
      </c>
      <c r="BA12" s="2">
        <f>COUNTIFS(顧客データ!$F$4:$F$1048576,"&gt;=2022/10/1",顧客データ!$F$4:$F$1048576,"&lt;=2022/10/31",顧客データ!$G$4:$G$1048576,"=小さな結婚式",顧客データ!$J$4:$J$1048576,"&gt;=2022/10/1")</f>
        <v>1</v>
      </c>
      <c r="BB12" s="35">
        <f t="shared" si="19"/>
        <v>1</v>
      </c>
      <c r="BC12" s="2">
        <f>COUNTIFS(顧客データ!$F$4:$F$1048576,"&gt;=2022/10/1",顧客データ!$F$4:$F$1048576,"&lt;=2022/10/31",顧客データ!$G$4:$G$1048576,"=小さな結婚式",顧客データ!$D$4:$D$1048576,"=*成約*")</f>
        <v>1</v>
      </c>
      <c r="BD12" s="35">
        <f t="shared" si="8"/>
        <v>1</v>
      </c>
      <c r="BF12" t="s">
        <v>17</v>
      </c>
      <c r="BG12" s="2">
        <f>COUNTIFS(顧客データ!$F$4:$F$1048576,"&gt;=2022/10/1",顧客データ!$F$4:$F$1048576,"&lt;=2022/10/31",顧客データ!$G$4:$G$1048576,"=ブラスポ")</f>
        <v>1</v>
      </c>
      <c r="BH12" s="2">
        <f>COUNTIFS(顧客データ!$F$4:$F$1048576,"&gt;=2022/10/1",顧客データ!$F$4:$F$1048576,"&lt;=2022/10/31",顧客データ!$G$4:$G$1048576,"=ブラスポ",顧客データ!$J$4:$J$1048576,"&gt;=2022/10/1")</f>
        <v>1</v>
      </c>
      <c r="BI12" s="35">
        <f t="shared" si="20"/>
        <v>1</v>
      </c>
      <c r="BJ12" s="2">
        <f>COUNTIFS(顧客データ!$F$4:$F$1048576,"&gt;=2022/10/1",顧客データ!$F$4:$F$1048576,"&lt;=2022/10/31",顧客データ!$G$4:$G$1048576,"=ブラスポ",顧客データ!$D$4:$D$1048576,"=*成約*")</f>
        <v>0</v>
      </c>
      <c r="BK12" s="35">
        <f t="shared" si="9"/>
        <v>0</v>
      </c>
      <c r="BM12" t="s">
        <v>17</v>
      </c>
      <c r="BN12" s="2">
        <f>COUNTIFS(顧客データ!$F$4:$F$1048576,"&gt;=2022/10/1",顧客データ!$F$4:$F$1048576,"&lt;=2022/10/31",顧客データ!$G$4:$G$1048576,"=ゼクナビ")</f>
        <v>1</v>
      </c>
      <c r="BO12" s="2">
        <f>COUNTIFS(顧客データ!$F$4:$F$1048576,"&gt;=2022/10/1",顧客データ!$F$4:$F$1048576,"&lt;=2022/10/31",顧客データ!$G$4:$G$1048576,"=ゼクナビ",顧客データ!$J$4:$J$1048576,"&gt;=2022/10/1")</f>
        <v>1</v>
      </c>
      <c r="BP12" s="35">
        <f t="shared" si="21"/>
        <v>1</v>
      </c>
      <c r="BQ12" s="2">
        <f>COUNTIFS(顧客データ!$F$4:$F$1048576,"&gt;=2022/10/1",顧客データ!$F$4:$F$1048576,"&lt;=2022/10/31",顧客データ!$G$4:$G$1048576,"=ゼクナビ",顧客データ!$D$4:$D$1048576,"=*成約*")</f>
        <v>0</v>
      </c>
      <c r="BR12" s="35">
        <f t="shared" si="10"/>
        <v>0</v>
      </c>
      <c r="BT12" t="s">
        <v>17</v>
      </c>
      <c r="BU12" s="2">
        <f>COUNTIFS(顧客データ!$F$4:$F$1048576,"&gt;=2022/10/1",顧客データ!$F$4:$F$1048576,"&lt;=2022/10/31",顧客データ!$G$4:$G$1048576,"=その他")</f>
        <v>2</v>
      </c>
      <c r="BV12" s="2">
        <f>COUNTIFS(顧客データ!$F$4:$F$1048576,"&gt;=2022/10/1",顧客データ!$F$4:$F$1048576,"&lt;=2022/10/31",顧客データ!$G$4:$G$1048576,"=その他",顧客データ!$J$4:$J$1048576,"&gt;=2022/10/1")</f>
        <v>2</v>
      </c>
      <c r="BW12" s="35">
        <f t="shared" si="22"/>
        <v>1</v>
      </c>
      <c r="BX12" s="2">
        <f>COUNTIFS(顧客データ!$F$4:$F$1048576,"&gt;=2022/10/1",顧客データ!$F$4:$F$1048576,"&lt;=2022/10/31",顧客データ!$G$4:$G$1048576,"=その他",顧客データ!$D$4:$D$1048576,"=*成約*")</f>
        <v>0</v>
      </c>
      <c r="BY12" s="35">
        <f t="shared" si="11"/>
        <v>0</v>
      </c>
    </row>
    <row r="13" spans="2:77" x14ac:dyDescent="0.5">
      <c r="B13" t="s">
        <v>18</v>
      </c>
      <c r="C13" s="2">
        <f t="shared" si="0"/>
        <v>17</v>
      </c>
      <c r="D13" s="2">
        <f t="shared" si="0"/>
        <v>16</v>
      </c>
      <c r="E13" s="35">
        <f t="shared" si="12"/>
        <v>0.94117647058823528</v>
      </c>
      <c r="F13" s="2">
        <f t="shared" si="0"/>
        <v>6</v>
      </c>
      <c r="G13" s="35">
        <f t="shared" si="1"/>
        <v>0.375</v>
      </c>
      <c r="I13" t="s">
        <v>18</v>
      </c>
      <c r="J13" s="2">
        <f>COUNTIFS(顧客データ!$F$4:$F$1048576,"&gt;=2022/11/1",顧客データ!$F$4:$F$1048576,"&lt;=2022/11/30",顧客データ!$G$4:$G$1048576,"=自社HP",顧客データ!$H$4:$H$1048576,"=フェア")+COUNTIFS(顧客データ!$F$4:$F$1048576,"&gt;=2022/11/1",顧客データ!$F$4:$F$1048576,"&lt;=2022/11/30",顧客データ!$G$4:$G$1048576,"=自社HP",顧客データ!$H$4:$H$1048576,"=見学")</f>
        <v>7</v>
      </c>
      <c r="K13" s="2">
        <f>COUNTIFS(顧客データ!$F$4:$F$1048576,"&gt;=2022/11/1",顧客データ!$F$4:$F$1048576,"&lt;=2022/11/30",顧客データ!$G$4:$G$1048576,"=自社HP",顧客データ!$H$4:$H$1048576,"=フェア",顧客データ!$J$4:$J$1048576,"&gt;=2022/11/1")+COUNTIFS(顧客データ!$F$4:$F$1048576,"&gt;=2022/11/1",顧客データ!$F$4:$F$1048576,"&lt;=2022/11/30",顧客データ!$G$4:$G$1048576,"=自社HP",顧客データ!$H$4:$H$1048576,"=見学",顧客データ!$J$4:$J$1048576,"&gt;=2022/11/1")</f>
        <v>7</v>
      </c>
      <c r="L13" s="35">
        <f t="shared" si="13"/>
        <v>1</v>
      </c>
      <c r="M13" s="2">
        <f>COUNTIFS(顧客データ!$F$4:$F$1048576,"&gt;=2022/11/1",顧客データ!$F$4:$F$1048576,"&lt;=2022/11/30",顧客データ!$G$4:$G$1048576,"=自社HP",顧客データ!$H$4:$H$1048576,"=フェア",顧客データ!$D$4:$D$1048576,"=*成約*")+COUNTIFS(顧客データ!$F$4:$F$1048576,"&gt;=2022/11/1",顧客データ!$F$4:$F$1048576,"&lt;=2022/11/30",顧客データ!$G$4:$G$1048576,"=自社HP",顧客データ!$H$4:$H$1048576,"=見学",顧客データ!$D$4:$D$1048576,"=*成約*")</f>
        <v>4</v>
      </c>
      <c r="N13" s="35">
        <f t="shared" si="2"/>
        <v>0.5714285714285714</v>
      </c>
      <c r="P13" t="s">
        <v>18</v>
      </c>
      <c r="Q13" s="2">
        <f>COUNTIFS(顧客データ!$F$4:$F$1048576,"&gt;=2022/11/1",顧客データ!$F$4:$F$1048576,"&lt;=2022/11/30",顧客データ!$G$4:$G$1048576,"=自社HP",顧客データ!$H$4:$H$1048576,"=資料請求")</f>
        <v>1</v>
      </c>
      <c r="R13" s="2">
        <f>COUNTIFS(顧客データ!$F$4:$F$1048576,"&gt;=2022/11/1",顧客データ!$F$4:$F$1048576,"&lt;=2022/11/30",顧客データ!$G$4:$G$1048576,"=自社HP",顧客データ!$H$4:$H$1048576,"=資料請求",顧客データ!$J$4:$J$1048576,"&gt;=2022/11/1")</f>
        <v>0</v>
      </c>
      <c r="S13" s="35">
        <f t="shared" si="14"/>
        <v>0</v>
      </c>
      <c r="T13" s="2">
        <f>COUNTIFS(顧客データ!$F$4:$F$1048576,"&gt;=2022/11/1",顧客データ!$F$4:$F$1048576,"&lt;=2022/11/30",顧客データ!$G$4:$G$1048576,"=自社HP",顧客データ!$H$4:$H$1048576,"=資料請求",顧客データ!$D$4:$D$1048576,"=*成約*")</f>
        <v>0</v>
      </c>
      <c r="U13" s="35" t="e">
        <f t="shared" si="3"/>
        <v>#DIV/0!</v>
      </c>
      <c r="W13" t="s">
        <v>18</v>
      </c>
      <c r="X13" s="2">
        <f>COUNTIFS(顧客データ!$F$4:$F$1048576,"&gt;=2022/11/1",顧客データ!$F$4:$F$1048576,"&lt;=2022/11/30",顧客データ!$G$4:$G$1048576,"=直TEL",顧客データ!$H$4:$H$1048576,"=フェア")+COUNTIFS(顧客データ!$F$4:$F$1048576,"&gt;=2022/11/1",顧客データ!$F$4:$F$1048576,"&lt;=2022/11/30",顧客データ!$G$4:$G$1048576,"=直TEL",顧客データ!$H$4:$H$1048576,"=見学")</f>
        <v>0</v>
      </c>
      <c r="Y13" s="2">
        <f>COUNTIFS(顧客データ!$F$4:$F$1048576,"&gt;=2022/11/1",顧客データ!$F$4:$F$1048576,"&lt;=2022/11/30",顧客データ!$G$4:$G$1048576,"=直TEL",顧客データ!$H$4:$H$1048576,"=フェア",顧客データ!$J$4:$J$1048576,"&gt;=2022/11/1")+COUNTIFS(顧客データ!$F$4:$F$1048576,"&gt;=2022/11/1",顧客データ!$F$4:$F$1048576,"&lt;=2022/11/30",顧客データ!$G$4:$G$1048576,"=直TEL",顧客データ!$H$4:$H$1048576,"=見学",顧客データ!$J$4:$J$1048576,"&gt;=2022/11/1")</f>
        <v>0</v>
      </c>
      <c r="Z13" s="35" t="e">
        <f t="shared" si="15"/>
        <v>#DIV/0!</v>
      </c>
      <c r="AA13" s="2">
        <f>COUNTIFS(顧客データ!$F$4:$F$1048576,"&gt;=2022/11/1",顧客データ!$F$4:$F$1048576,"&lt;=2022/11/30",顧客データ!$G$4:$G$1048576,"=直TEL",顧客データ!$H$4:$H$1048576,"=フェア",顧客データ!$D$4:$D$1048576,"=*成約*")+COUNTIFS(顧客データ!$F$4:$F$1048576,"&gt;=2022/11/1",顧客データ!$F$4:$F$1048576,"&lt;=2022/11/30",顧客データ!$G$4:$G$1048576,"=直TEL",顧客データ!$H$4:$H$1048576,"=見学",顧客データ!$D$4:$D$1048576,"=*成約*")</f>
        <v>0</v>
      </c>
      <c r="AB13" s="35" t="e">
        <f t="shared" si="4"/>
        <v>#DIV/0!</v>
      </c>
      <c r="AD13" t="s">
        <v>18</v>
      </c>
      <c r="AE13" s="2">
        <f>COUNTIFS(顧客データ!$F$4:$F$1048576,"&gt;=2022/11/1",顧客データ!$F$4:$F$1048576,"&lt;=2022/11/30",顧客データ!$G$4:$G$1048576,"=直TEL",顧客データ!$H$4:$H$1048576,"=資料請求")</f>
        <v>0</v>
      </c>
      <c r="AF13" s="2">
        <f>COUNTIFS(顧客データ!$F$4:$F$1048576,"&gt;=2022/11/1",顧客データ!$F$4:$F$1048576,"&lt;=2022/11/30",顧客データ!$G$4:$G$1048576,"=直TEL",顧客データ!$H$4:$H$1048576,"=資料請求",顧客データ!$J$4:$J$1048576,"&gt;=2022/11/1")</f>
        <v>0</v>
      </c>
      <c r="AG13" s="35" t="e">
        <f t="shared" si="16"/>
        <v>#DIV/0!</v>
      </c>
      <c r="AH13" s="2">
        <f>COUNTIFS(顧客データ!$F$4:$F$1048576,"&gt;=2022/11/1",顧客データ!$F$4:$F$1048576,"&lt;=2022/11/30",顧客データ!$G$4:$G$1048576,"=直TEL",顧客データ!$H$4:$H$1048576,"=資料請求",顧客データ!$D$4:$D$1048576,"=*成約*")</f>
        <v>0</v>
      </c>
      <c r="AI13" s="35" t="e">
        <f t="shared" si="5"/>
        <v>#DIV/0!</v>
      </c>
      <c r="AK13" t="s">
        <v>18</v>
      </c>
      <c r="AL13" s="2">
        <f>COUNTIFS(顧客データ!$F$4:$F$1048576,"&gt;=2022/11/1",顧客データ!$F$4:$F$1048576,"&lt;=2022/11/30",顧客データ!$G$4:$G$1048576,"=取引業者紹介")</f>
        <v>2</v>
      </c>
      <c r="AM13" s="2">
        <f>COUNTIFS(顧客データ!$F$4:$F$1048576,"&gt;=2022/11/1",顧客データ!$F$4:$F$1048576,"&lt;=2022/11/30",顧客データ!$G$4:$G$1048576,"=取引業者紹介",顧客データ!$J$4:$J$1048576,"&gt;=2022/11/1")</f>
        <v>2</v>
      </c>
      <c r="AN13" s="35">
        <f t="shared" si="17"/>
        <v>1</v>
      </c>
      <c r="AO13" s="2">
        <f>COUNTIFS(顧客データ!$F$4:$F$1048576,"&gt;=2022/11/1",顧客データ!$F$4:$F$1048576,"&lt;=2022/11/30",顧客データ!$G$4:$G$1048576,"=取引業者紹介",顧客データ!$D$4:$D$1048576,"=*成約*")</f>
        <v>0</v>
      </c>
      <c r="AP13" s="35">
        <f t="shared" si="6"/>
        <v>0</v>
      </c>
      <c r="AR13" t="s">
        <v>18</v>
      </c>
      <c r="AS13" s="2">
        <f>COUNTIFS(顧客データ!$F$4:$F$1048576,"&gt;=2022/11/1",顧客データ!$F$4:$F$1048576,"&lt;=2022/11/30",顧客データ!$G$4:$G$1048576,"=みんウエ")</f>
        <v>2</v>
      </c>
      <c r="AT13" s="2">
        <f>COUNTIFS(顧客データ!$F$4:$F$1048576,"&gt;=2022/11/1",顧客データ!$F$4:$F$1048576,"&lt;=2022/11/30",顧客データ!$G$4:$G$1048576,"=みんウエ",顧客データ!$J$4:$J$1048576,"&gt;=2022/11/1")</f>
        <v>2</v>
      </c>
      <c r="AU13" s="35">
        <f t="shared" si="18"/>
        <v>1</v>
      </c>
      <c r="AV13" s="2">
        <f>COUNTIFS(顧客データ!$F$4:$F$1048576,"&gt;=2022/11/1",顧客データ!$F$4:$F$1048576,"&lt;=2022/11/30",顧客データ!$G$4:$G$1048576,"=みんウエ",顧客データ!$D$4:$D$1048576,"=*成約*")</f>
        <v>0</v>
      </c>
      <c r="AW13" s="35">
        <f t="shared" si="7"/>
        <v>0</v>
      </c>
      <c r="AY13" t="s">
        <v>18</v>
      </c>
      <c r="AZ13" s="2">
        <f>COUNTIFS(顧客データ!$F$4:$F$1048576,"&gt;=2022/11/1",顧客データ!$F$4:$F$1048576,"&lt;=2022/11/30",顧客データ!$G$4:$G$1048576,"=小さな結婚式")</f>
        <v>0</v>
      </c>
      <c r="BA13" s="2">
        <f>COUNTIFS(顧客データ!$F$4:$F$1048576,"&gt;=2022/11/1",顧客データ!$F$4:$F$1048576,"&lt;=2022/11/30",顧客データ!$G$4:$G$1048576,"=小さな結婚式",顧客データ!$J$4:$J$1048576,"&gt;=2022/11/1")</f>
        <v>0</v>
      </c>
      <c r="BB13" s="35" t="e">
        <f t="shared" si="19"/>
        <v>#DIV/0!</v>
      </c>
      <c r="BC13" s="2">
        <f>COUNTIFS(顧客データ!$F$4:$F$1048576,"&gt;=2022/11/1",顧客データ!$F$4:$F$1048576,"&lt;=2022/11/30",顧客データ!$G$4:$G$1048576,"=小さな結婚式",顧客データ!$D$4:$D$1048576,"=*成約*")</f>
        <v>0</v>
      </c>
      <c r="BD13" s="35" t="e">
        <f t="shared" si="8"/>
        <v>#DIV/0!</v>
      </c>
      <c r="BF13" t="s">
        <v>18</v>
      </c>
      <c r="BG13" s="2">
        <f>COUNTIFS(顧客データ!$F$4:$F$1048576,"&gt;=2022/11/1",顧客データ!$F$4:$F$1048576,"&lt;=2022/11/30",顧客データ!$G$4:$G$1048576,"=ブラスポ")</f>
        <v>0</v>
      </c>
      <c r="BH13" s="2">
        <f>COUNTIFS(顧客データ!$F$4:$F$1048576,"&gt;=2022/11/1",顧客データ!$F$4:$F$1048576,"&lt;=2022/11/30",顧客データ!$G$4:$G$1048576,"=ブラスポ",顧客データ!$J$4:$J$1048576,"&gt;=2022/11/1")</f>
        <v>0</v>
      </c>
      <c r="BI13" s="35" t="e">
        <f t="shared" si="20"/>
        <v>#DIV/0!</v>
      </c>
      <c r="BJ13" s="2">
        <f>COUNTIFS(顧客データ!$F$4:$F$1048576,"&gt;=2022/11/1",顧客データ!$F$4:$F$1048576,"&lt;=2022/11/30",顧客データ!$G$4:$G$1048576,"=ブラスポ",顧客データ!$D$4:$D$1048576,"=*成約*")</f>
        <v>0</v>
      </c>
      <c r="BK13" s="35" t="e">
        <f t="shared" si="9"/>
        <v>#DIV/0!</v>
      </c>
      <c r="BM13" t="s">
        <v>18</v>
      </c>
      <c r="BN13" s="2">
        <f>COUNTIFS(顧客データ!$F$4:$F$1048576,"&gt;=2022/11/1",顧客データ!$F$4:$F$1048576,"&lt;=2022/11/30",顧客データ!$G$4:$G$1048576,"=ゼクナビ")</f>
        <v>0</v>
      </c>
      <c r="BO13" s="2">
        <f>COUNTIFS(顧客データ!$F$4:$F$1048576,"&gt;=2022/11/1",顧客データ!$F$4:$F$1048576,"&lt;=2022/11/30",顧客データ!$G$4:$G$1048576,"=ゼクナビ",顧客データ!$J$4:$J$1048576,"&gt;=2022/11/1")</f>
        <v>0</v>
      </c>
      <c r="BP13" s="35" t="e">
        <f t="shared" si="21"/>
        <v>#DIV/0!</v>
      </c>
      <c r="BQ13" s="2">
        <f>COUNTIFS(顧客データ!$F$4:$F$1048576,"&gt;=2022/11/1",顧客データ!$F$4:$F$1048576,"&lt;=2022/11/30",顧客データ!$G$4:$G$1048576,"=ゼクナビ",顧客データ!$D$4:$D$1048576,"=*成約*")</f>
        <v>0</v>
      </c>
      <c r="BR13" s="35" t="e">
        <f t="shared" si="10"/>
        <v>#DIV/0!</v>
      </c>
      <c r="BT13" t="s">
        <v>18</v>
      </c>
      <c r="BU13" s="2">
        <f>COUNTIFS(顧客データ!$F$4:$F$1048576,"&gt;=2022/11/1",顧客データ!$F$4:$F$1048576,"&lt;=2022/11/30",顧客データ!$G$4:$G$1048576,"=その他")</f>
        <v>5</v>
      </c>
      <c r="BV13" s="2">
        <f>COUNTIFS(顧客データ!$F$4:$F$1048576,"&gt;=2022/11/1",顧客データ!$F$4:$F$1048576,"&lt;=2022/11/30",顧客データ!$G$4:$G$1048576,"=その他",顧客データ!$J$4:$J$1048576,"&gt;=2022/11/1")</f>
        <v>5</v>
      </c>
      <c r="BW13" s="35">
        <f t="shared" si="22"/>
        <v>1</v>
      </c>
      <c r="BX13" s="2">
        <f>COUNTIFS(顧客データ!$F$4:$F$1048576,"&gt;=2022/11/1",顧客データ!$F$4:$F$1048576,"&lt;=2022/11/30",顧客データ!$G$4:$G$1048576,"=その他",顧客データ!$D$4:$D$1048576,"=*成約*")</f>
        <v>2</v>
      </c>
      <c r="BY13" s="35">
        <f t="shared" si="11"/>
        <v>0.4</v>
      </c>
    </row>
    <row r="14" spans="2:77" x14ac:dyDescent="0.5">
      <c r="B14" t="s">
        <v>19</v>
      </c>
      <c r="C14" s="2">
        <f t="shared" si="0"/>
        <v>9</v>
      </c>
      <c r="D14" s="2">
        <f t="shared" si="0"/>
        <v>6</v>
      </c>
      <c r="E14" s="35">
        <f t="shared" si="12"/>
        <v>0.66666666666666663</v>
      </c>
      <c r="F14" s="2">
        <f t="shared" si="0"/>
        <v>1</v>
      </c>
      <c r="G14" s="35">
        <f t="shared" si="1"/>
        <v>0.16666666666666666</v>
      </c>
      <c r="I14" t="s">
        <v>19</v>
      </c>
      <c r="J14" s="2">
        <f>COUNTIFS(顧客データ!$F$4:$F$1048576,"&gt;=2022/12/1",顧客データ!$F$4:$F$1048576,"&lt;=2022/12/31",顧客データ!$G$4:$G$1048576,"=自社HP",顧客データ!$H$4:$H$1048576,"=フェア")+COUNTIFS(顧客データ!$F$4:$F$1048576,"&gt;=2022/12/1",顧客データ!$F$4:$F$1048576,"&lt;=2022/12/31",顧客データ!$G$4:$G$1048576,"=自社HP",顧客データ!$H$4:$H$1048576,"=見学")</f>
        <v>6</v>
      </c>
      <c r="K14" s="2">
        <f>COUNTIFS(顧客データ!$F$4:$F$1048576,"&gt;=2022/12/1",顧客データ!$F$4:$F$1048576,"&lt;=2022/12/31",顧客データ!$G$4:$G$1048576,"=自社HP",顧客データ!$H$4:$H$1048576,"=フェア",顧客データ!$J$4:$J$1048576,"&gt;=2022/12/1")+COUNTIFS(顧客データ!$F$4:$F$1048576,"&gt;=2022/12/1",顧客データ!$F$4:$F$1048576,"&lt;=2022/12/31",顧客データ!$G$4:$G$1048576,"=自社HP",顧客データ!$H$4:$H$1048576,"=見学",顧客データ!$J$4:$J$1048576,"&gt;=2022/12/1")</f>
        <v>5</v>
      </c>
      <c r="L14" s="35">
        <f t="shared" si="13"/>
        <v>0.83333333333333337</v>
      </c>
      <c r="M14" s="2">
        <f>COUNTIFS(顧客データ!$F$4:$F$1048576,"&gt;=2022/12/1",顧客データ!$F$4:$F$1048576,"&lt;=2022/12/31",顧客データ!$G$4:$G$1048576,"=自社HP",顧客データ!$H$4:$H$1048576,"=フェア",顧客データ!$D$4:$D$1048576,"=*成約*")+COUNTIFS(顧客データ!$F$4:$F$1048576,"&gt;=2022/12/1",顧客データ!$F$4:$F$1048576,"&lt;=2022/12/31",顧客データ!$G$4:$G$1048576,"=自社HP",顧客データ!$H$4:$H$1048576,"=見学",顧客データ!$D$4:$D$1048576,"=*成約*")</f>
        <v>1</v>
      </c>
      <c r="N14" s="35">
        <f t="shared" si="2"/>
        <v>0.2</v>
      </c>
      <c r="P14" t="s">
        <v>19</v>
      </c>
      <c r="Q14" s="2">
        <f>COUNTIFS(顧客データ!$F$4:$F$1048576,"&gt;=2022/12/1",顧客データ!$F$4:$F$1048576,"&lt;=2022/12/31",顧客データ!$G$4:$G$1048576,"=自社HP",顧客データ!$H$4:$H$1048576,"=資料請求")</f>
        <v>1</v>
      </c>
      <c r="R14" s="2">
        <f>COUNTIFS(顧客データ!$F$4:$F$1048576,"&gt;=2022/12/1",顧客データ!$F$4:$F$1048576,"&lt;=2022/12/31",顧客データ!$G$4:$G$1048576,"=自社HP",顧客データ!$H$4:$H$1048576,"=資料請求",顧客データ!$J$4:$J$1048576,"&gt;=2022/12/1")</f>
        <v>1</v>
      </c>
      <c r="S14" s="35">
        <f t="shared" si="14"/>
        <v>1</v>
      </c>
      <c r="T14" s="2">
        <f>COUNTIFS(顧客データ!$F$4:$F$1048576,"&gt;=2022/12/1",顧客データ!$F$4:$F$1048576,"&lt;=2022/12/31",顧客データ!$G$4:$G$1048576,"=自社HP",顧客データ!$H$4:$H$1048576,"=資料請求",顧客データ!$D$4:$D$1048576,"=*成約*")</f>
        <v>0</v>
      </c>
      <c r="U14" s="35">
        <f t="shared" si="3"/>
        <v>0</v>
      </c>
      <c r="W14" t="s">
        <v>19</v>
      </c>
      <c r="X14" s="2">
        <f>COUNTIFS(顧客データ!$F$4:$F$1048576,"&gt;=2022/12/1",顧客データ!$F$4:$F$1048576,"&lt;=2022/12/31",顧客データ!$G$4:$G$1048576,"=直TEL",顧客データ!$H$4:$H$1048576,"=フェア")+COUNTIFS(顧客データ!$F$4:$F$1048576,"&gt;=2022/12/1",顧客データ!$F$4:$F$1048576,"&lt;=2022/12/31",顧客データ!$G$4:$G$1048576,"=直TEL",顧客データ!$H$4:$H$1048576,"=見学")</f>
        <v>0</v>
      </c>
      <c r="Y14" s="2">
        <f>COUNTIFS(顧客データ!$F$4:$F$1048576,"&gt;=2022/12/1",顧客データ!$F$4:$F$1048576,"&lt;=2022/12/31",顧客データ!$G$4:$G$1048576,"=直TEL",顧客データ!$H$4:$H$1048576,"=フェア",顧客データ!$J$4:$J$1048576,"&gt;=2022/12/1")+COUNTIFS(顧客データ!$F$4:$F$1048576,"&gt;=2022/12/1",顧客データ!$F$4:$F$1048576,"&lt;=2022/12/31",顧客データ!$G$4:$G$1048576,"=直TEL",顧客データ!$H$4:$H$1048576,"=見学",顧客データ!$J$4:$J$1048576,"&gt;=2022/12/1")</f>
        <v>0</v>
      </c>
      <c r="Z14" s="35" t="e">
        <f t="shared" si="15"/>
        <v>#DIV/0!</v>
      </c>
      <c r="AA14" s="2">
        <f>COUNTIFS(顧客データ!$F$4:$F$1048576,"&gt;=2022/12/1",顧客データ!$F$4:$F$1048576,"&lt;=2022/12/31",顧客データ!$G$4:$G$1048576,"=直TEL",顧客データ!$H$4:$H$1048576,"=フェア",顧客データ!$D$4:$D$1048576,"=*成約*")+COUNTIFS(顧客データ!$F$4:$F$1048576,"&gt;=2022/12/1",顧客データ!$F$4:$F$1048576,"&lt;=2022/12/31",顧客データ!$G$4:$G$1048576,"=直TEL",顧客データ!$H$4:$H$1048576,"=見学",顧客データ!$D$4:$D$1048576,"=*成約*")</f>
        <v>0</v>
      </c>
      <c r="AB14" s="35" t="e">
        <f t="shared" si="4"/>
        <v>#DIV/0!</v>
      </c>
      <c r="AD14" t="s">
        <v>19</v>
      </c>
      <c r="AE14" s="2">
        <f>COUNTIFS(顧客データ!$F$4:$F$1048576,"&gt;=2022/12/1",顧客データ!$F$4:$F$1048576,"&lt;=2022/12/31",顧客データ!$G$4:$G$1048576,"=直TEL",顧客データ!$H$4:$H$1048576,"=資料請求")</f>
        <v>0</v>
      </c>
      <c r="AF14" s="2">
        <f>COUNTIFS(顧客データ!$F$4:$F$1048576,"&gt;=2022/12/1",顧客データ!$F$4:$F$1048576,"&lt;=2022/12/31",顧客データ!$G$4:$G$1048576,"=直TEL",顧客データ!$H$4:$H$1048576,"=資料請求",顧客データ!$J$4:$J$1048576,"&gt;=2022/12/1")</f>
        <v>0</v>
      </c>
      <c r="AG14" s="35" t="e">
        <f t="shared" si="16"/>
        <v>#DIV/0!</v>
      </c>
      <c r="AH14" s="2">
        <f>COUNTIFS(顧客データ!$F$4:$F$1048576,"&gt;=2022/12/1",顧客データ!$F$4:$F$1048576,"&lt;=2022/12/31",顧客データ!$G$4:$G$1048576,"=直TEL",顧客データ!$H$4:$H$1048576,"=資料請求",顧客データ!$D$4:$D$1048576,"=*成約*")</f>
        <v>0</v>
      </c>
      <c r="AI14" s="35" t="e">
        <f t="shared" si="5"/>
        <v>#DIV/0!</v>
      </c>
      <c r="AK14" t="s">
        <v>19</v>
      </c>
      <c r="AL14" s="2">
        <f>COUNTIFS(顧客データ!$F$4:$F$1048576,"&gt;=2022/12/1",顧客データ!$F$4:$F$1048576,"&lt;=2022/12/31",顧客データ!$G$4:$G$1048576,"=取引業者紹介")</f>
        <v>0</v>
      </c>
      <c r="AM14" s="2">
        <f>COUNTIFS(顧客データ!$F$4:$F$1048576,"&gt;=2022/12/1",顧客データ!$F$4:$F$1048576,"&lt;=2022/12/31",顧客データ!$G$4:$G$1048576,"=取引業者紹介",顧客データ!$J$4:$J$1048576,"&gt;=2022/12/1")</f>
        <v>0</v>
      </c>
      <c r="AN14" s="35" t="e">
        <f t="shared" si="17"/>
        <v>#DIV/0!</v>
      </c>
      <c r="AO14" s="2">
        <f>COUNTIFS(顧客データ!$F$4:$F$1048576,"&gt;=2022/12/1",顧客データ!$F$4:$F$1048576,"&lt;=2022/12/31",顧客データ!$G$4:$G$1048576,"=取引業者紹介",顧客データ!$D$4:$D$1048576,"=*成約*")</f>
        <v>0</v>
      </c>
      <c r="AP14" s="35" t="e">
        <f t="shared" si="6"/>
        <v>#DIV/0!</v>
      </c>
      <c r="AR14" t="s">
        <v>19</v>
      </c>
      <c r="AS14" s="2">
        <f>COUNTIFS(顧客データ!$F$4:$F$1048576,"&gt;=2022/12/1",顧客データ!$F$4:$F$1048576,"&lt;=2022/12/31",顧客データ!$G$4:$G$1048576,"=みんウエ")</f>
        <v>1</v>
      </c>
      <c r="AT14" s="2">
        <f>COUNTIFS(顧客データ!$F$4:$F$1048576,"&gt;=2022/12/1",顧客データ!$F$4:$F$1048576,"&lt;=2022/12/31",顧客データ!$G$4:$G$1048576,"=みんウエ",顧客データ!$J$4:$J$1048576,"&gt;=2022/12/1")</f>
        <v>0</v>
      </c>
      <c r="AU14" s="35">
        <f t="shared" si="18"/>
        <v>0</v>
      </c>
      <c r="AV14" s="2">
        <f>COUNTIFS(顧客データ!$F$4:$F$1048576,"&gt;=2022/12/1",顧客データ!$F$4:$F$1048576,"&lt;=2022/12/31",顧客データ!$G$4:$G$1048576,"=みんウエ",顧客データ!$D$4:$D$1048576,"=*成約*")</f>
        <v>0</v>
      </c>
      <c r="AW14" s="35" t="e">
        <f t="shared" si="7"/>
        <v>#DIV/0!</v>
      </c>
      <c r="AY14" t="s">
        <v>19</v>
      </c>
      <c r="AZ14" s="2">
        <f>COUNTIFS(顧客データ!$F$4:$F$1048576,"&gt;=2022/12/1",顧客データ!$F$4:$F$1048576,"&lt;=2022/12/31",顧客データ!$G$4:$G$1048576,"=小さな結婚式")</f>
        <v>0</v>
      </c>
      <c r="BA14" s="2">
        <f>COUNTIFS(顧客データ!$F$4:$F$1048576,"&gt;=2022/12/1",顧客データ!$F$4:$F$1048576,"&lt;=2022/12/31",顧客データ!$G$4:$G$1048576,"=小さな結婚式",顧客データ!$J$4:$J$1048576,"&gt;=2022/12/1")</f>
        <v>0</v>
      </c>
      <c r="BB14" s="35" t="e">
        <f t="shared" si="19"/>
        <v>#DIV/0!</v>
      </c>
      <c r="BC14" s="2">
        <f>COUNTIFS(顧客データ!$F$4:$F$1048576,"&gt;=2022/12/1",顧客データ!$F$4:$F$1048576,"&lt;=2022/12/31",顧客データ!$G$4:$G$1048576,"=小さな結婚式",顧客データ!$D$4:$D$1048576,"=*成約*")</f>
        <v>0</v>
      </c>
      <c r="BD14" s="35" t="e">
        <f t="shared" si="8"/>
        <v>#DIV/0!</v>
      </c>
      <c r="BF14" t="s">
        <v>19</v>
      </c>
      <c r="BG14" s="2">
        <f>COUNTIFS(顧客データ!$F$4:$F$1048576,"&gt;=2022/12/1",顧客データ!$F$4:$F$1048576,"&lt;=2022/12/31",顧客データ!$G$4:$G$1048576,"=ブラスポ")</f>
        <v>0</v>
      </c>
      <c r="BH14" s="2">
        <f>COUNTIFS(顧客データ!$F$4:$F$1048576,"&gt;=2022/12/1",顧客データ!$F$4:$F$1048576,"&lt;=2022/12/31",顧客データ!$G$4:$G$1048576,"=ブラスポ",顧客データ!$J$4:$J$1048576,"&gt;=2022/12/1")</f>
        <v>0</v>
      </c>
      <c r="BI14" s="35" t="e">
        <f t="shared" si="20"/>
        <v>#DIV/0!</v>
      </c>
      <c r="BJ14" s="2">
        <f>COUNTIFS(顧客データ!$F$4:$F$1048576,"&gt;=2022/12/1",顧客データ!$F$4:$F$1048576,"&lt;=2022/12/31",顧客データ!$G$4:$G$1048576,"=ブラスポ",顧客データ!$D$4:$D$1048576,"=*成約*")</f>
        <v>0</v>
      </c>
      <c r="BK14" s="35" t="e">
        <f t="shared" si="9"/>
        <v>#DIV/0!</v>
      </c>
      <c r="BM14" t="s">
        <v>19</v>
      </c>
      <c r="BN14" s="2">
        <f>COUNTIFS(顧客データ!$F$4:$F$1048576,"&gt;=2022/12/1",顧客データ!$F$4:$F$1048576,"&lt;=2022/12/31",顧客データ!$G$4:$G$1048576,"=ゼクナビ")</f>
        <v>1</v>
      </c>
      <c r="BO14" s="2">
        <f>COUNTIFS(顧客データ!$F$4:$F$1048576,"&gt;=2022/12/1",顧客データ!$F$4:$F$1048576,"&lt;=2022/12/31",顧客データ!$G$4:$G$1048576,"=ゼクナビ",顧客データ!$J$4:$J$1048576,"&gt;=2022/12/1")</f>
        <v>0</v>
      </c>
      <c r="BP14" s="35">
        <f t="shared" si="21"/>
        <v>0</v>
      </c>
      <c r="BQ14" s="2">
        <f>COUNTIFS(顧客データ!$F$4:$F$1048576,"&gt;=2022/12/1",顧客データ!$F$4:$F$1048576,"&lt;=2022/12/31",顧客データ!$G$4:$G$1048576,"=ゼクナビ",顧客データ!$D$4:$D$1048576,"=*成約*")</f>
        <v>0</v>
      </c>
      <c r="BR14" s="35" t="e">
        <f t="shared" si="10"/>
        <v>#DIV/0!</v>
      </c>
      <c r="BT14" t="s">
        <v>19</v>
      </c>
      <c r="BU14" s="2">
        <f>COUNTIFS(顧客データ!$F$4:$F$1048576,"&gt;=2022/12/1",顧客データ!$F$4:$F$1048576,"&lt;=2022/12/31",顧客データ!$G$4:$G$1048576,"=その他")</f>
        <v>0</v>
      </c>
      <c r="BV14" s="2">
        <f>COUNTIFS(顧客データ!$F$4:$F$1048576,"&gt;=2022/12/1",顧客データ!$F$4:$F$1048576,"&lt;=2022/12/31",顧客データ!$G$4:$G$1048576,"=その他",顧客データ!$J$4:$J$1048576,"&gt;=2022/12/1")</f>
        <v>0</v>
      </c>
      <c r="BW14" s="35" t="e">
        <f t="shared" si="22"/>
        <v>#DIV/0!</v>
      </c>
      <c r="BX14" s="2">
        <f>COUNTIFS(顧客データ!$F$4:$F$1048576,"&gt;=2022/12/1",顧客データ!$F$4:$F$1048576,"&lt;=2022/12/31",顧客データ!$G$4:$G$1048576,"=その他",顧客データ!$D$4:$D$1048576,"=*成約*")</f>
        <v>0</v>
      </c>
      <c r="BY14" s="35" t="e">
        <f t="shared" si="11"/>
        <v>#DIV/0!</v>
      </c>
    </row>
    <row r="15" spans="2:77" x14ac:dyDescent="0.5">
      <c r="B15" t="s">
        <v>20</v>
      </c>
      <c r="C15" s="2">
        <f t="shared" si="0"/>
        <v>23</v>
      </c>
      <c r="D15" s="2">
        <f t="shared" si="0"/>
        <v>15</v>
      </c>
      <c r="E15" s="35">
        <f t="shared" si="12"/>
        <v>0.65217391304347827</v>
      </c>
      <c r="F15" s="2">
        <f t="shared" si="0"/>
        <v>2</v>
      </c>
      <c r="G15" s="35">
        <f t="shared" si="1"/>
        <v>0.13333333333333333</v>
      </c>
      <c r="I15" t="s">
        <v>20</v>
      </c>
      <c r="J15" s="2">
        <f>COUNTIFS(顧客データ!$F$4:$F$1048576,"&gt;=2023/1/1",顧客データ!$F$4:$F$1048576,"&lt;=2023/1/31",顧客データ!$G$4:$G$1048576,"=自社HP",顧客データ!$H$4:$H$1048576,"=フェア")+COUNTIFS(顧客データ!$F$4:$F$1048576,"&gt;=2023/1/1",顧客データ!$F$4:$F$1048576,"&lt;=2023/1/31",顧客データ!$G$4:$G$1048576,"=自社HP",顧客データ!$H$4:$H$1048576,"=見学")</f>
        <v>10</v>
      </c>
      <c r="K15" s="2">
        <f>COUNTIFS(顧客データ!$F$4:$F$1048576,"&gt;=2023/1/1",顧客データ!$F$4:$F$1048576,"&lt;=2023/1/31",顧客データ!$G$4:$G$1048576,"=自社HP",顧客データ!$H$4:$H$1048576,"=フェア",顧客データ!$J$4:$J$1048576,"&gt;=2023/1/1")+COUNTIFS(顧客データ!$F$4:$F$1048576,"&gt;=2023/1/1",顧客データ!$F$4:$F$1048576,"&lt;=2023/1/31",顧客データ!$G$4:$G$1048576,"=自社HP",顧客データ!$H$4:$H$1048576,"=見学",顧客データ!$J$4:$J$1048576,"&gt;=2023/1/1")</f>
        <v>8</v>
      </c>
      <c r="L15" s="35">
        <f t="shared" si="13"/>
        <v>0.8</v>
      </c>
      <c r="M15" s="2">
        <f>COUNTIFS(顧客データ!$F$4:$F$1048576,"&gt;=2023/1/1",顧客データ!$F$4:$F$1048576,"&lt;=2023/1/31",顧客データ!$G$4:$G$1048576,"=自社HP",顧客データ!$H$4:$H$1048576,"=フェア",顧客データ!$D$4:$D$1048576,"=*成約*")+COUNTIFS(顧客データ!$F$4:$F$1048576,"&gt;=2023/1/1",顧客データ!$F$4:$F$1048576,"&lt;=2023/1/31",顧客データ!$G$4:$G$1048576,"=自社HP",顧客データ!$H$4:$H$1048576,"=見学",顧客データ!$D$4:$D$1048576,"=*成約*")</f>
        <v>1</v>
      </c>
      <c r="N15" s="35">
        <f t="shared" si="2"/>
        <v>0.125</v>
      </c>
      <c r="P15" t="s">
        <v>20</v>
      </c>
      <c r="Q15" s="2">
        <f>COUNTIFS(顧客データ!$F$4:$F$1048576,"&gt;=2023/1/1",顧客データ!$F$4:$F$1048576,"&lt;=2023/1/31",顧客データ!$G$4:$G$1048576,"=自社HP",顧客データ!$H$4:$H$1048576,"=資料請求")</f>
        <v>5</v>
      </c>
      <c r="R15" s="2">
        <f>COUNTIFS(顧客データ!$F$4:$F$1048576,"&gt;=2023/1/1",顧客データ!$F$4:$F$1048576,"&lt;=2023/1/31",顧客データ!$G$4:$G$1048576,"=自社HP",顧客データ!$H$4:$H$1048576,"=資料請求",顧客データ!$J$4:$J$1048576,"&gt;=2023/1/1")</f>
        <v>1</v>
      </c>
      <c r="S15" s="35">
        <f t="shared" si="14"/>
        <v>0.2</v>
      </c>
      <c r="T15" s="2">
        <f>COUNTIFS(顧客データ!$F$4:$F$1048576,"&gt;=2023/1/1",顧客データ!$F$4:$F$1048576,"&lt;=2023/1/31",顧客データ!$G$4:$G$1048576,"=自社HP",顧客データ!$H$4:$H$1048576,"=資料請求",顧客データ!$D$4:$D$1048576,"=*成約*")</f>
        <v>0</v>
      </c>
      <c r="U15" s="35">
        <f t="shared" si="3"/>
        <v>0</v>
      </c>
      <c r="W15" t="s">
        <v>20</v>
      </c>
      <c r="X15" s="2">
        <f>COUNTIFS(顧客データ!$F$4:$F$1048576,"&gt;=2023/1/1",顧客データ!$F$4:$F$1048576,"&lt;=2023/1/31",顧客データ!$G$4:$G$1048576,"=直TEL",顧客データ!$H$4:$H$1048576,"=フェア")+COUNTIFS(顧客データ!$F$4:$F$1048576,"&gt;=2023/1/1",顧客データ!$F$4:$F$1048576,"&lt;=2023/1/31",顧客データ!$G$4:$G$1048576,"=直TEL",顧客データ!$H$4:$H$1048576,"=見学")</f>
        <v>1</v>
      </c>
      <c r="Y15" s="2">
        <f>COUNTIFS(顧客データ!$F$4:$F$1048576,"&gt;=2023/1/1",顧客データ!$F$4:$F$1048576,"&lt;=2023/1/31",顧客データ!$G$4:$G$1048576,"=直TEL",顧客データ!$H$4:$H$1048576,"=フェア",顧客データ!$J$4:$J$1048576,"&gt;=2023/1/1")+COUNTIFS(顧客データ!$F$4:$F$1048576,"&gt;=2023/1/1",顧客データ!$F$4:$F$1048576,"&lt;=2023/1/31",顧客データ!$G$4:$G$1048576,"=直TEL",顧客データ!$H$4:$H$1048576,"=見学",顧客データ!$J$4:$J$1048576,"&gt;=2023/1/1")</f>
        <v>1</v>
      </c>
      <c r="Z15" s="35">
        <f t="shared" si="15"/>
        <v>1</v>
      </c>
      <c r="AA15" s="2">
        <f>COUNTIFS(顧客データ!$F$4:$F$1048576,"&gt;=2023/1/1",顧客データ!$F$4:$F$1048576,"&lt;=2023/1/31",顧客データ!$G$4:$G$1048576,"=直TEL",顧客データ!$H$4:$H$1048576,"=フェア",顧客データ!$D$4:$D$1048576,"=*成約*")+COUNTIFS(顧客データ!$F$4:$F$1048576,"&gt;=2023/1/1",顧客データ!$F$4:$F$1048576,"&lt;=2023/1/31",顧客データ!$G$4:$G$1048576,"=直TEL",顧客データ!$H$4:$H$1048576,"=見学",顧客データ!$D$4:$D$1048576,"=*成約*")</f>
        <v>1</v>
      </c>
      <c r="AB15" s="35">
        <f t="shared" si="4"/>
        <v>1</v>
      </c>
      <c r="AD15" t="s">
        <v>20</v>
      </c>
      <c r="AE15" s="2">
        <f>COUNTIFS(顧客データ!$F$4:$F$1048576,"&gt;=2023/1/1",顧客データ!$F$4:$F$1048576,"&lt;=2023/1/31",顧客データ!$G$4:$G$1048576,"=直TEL",顧客データ!$H$4:$H$1048576,"=資料請求")</f>
        <v>0</v>
      </c>
      <c r="AF15" s="2">
        <f>COUNTIFS(顧客データ!$F$4:$F$1048576,"&gt;=2023/1/1",顧客データ!$F$4:$F$1048576,"&lt;=2023/1/31",顧客データ!$G$4:$G$1048576,"=直TEL",顧客データ!$H$4:$H$1048576,"=資料請求",顧客データ!$J$4:$J$1048576,"&gt;=2023/1/1")</f>
        <v>0</v>
      </c>
      <c r="AG15" s="35" t="e">
        <f t="shared" si="16"/>
        <v>#DIV/0!</v>
      </c>
      <c r="AH15" s="2">
        <f>COUNTIFS(顧客データ!$F$4:$F$1048576,"&gt;=2023/1/1",顧客データ!$F$4:$F$1048576,"&lt;=2023/1/31",顧客データ!$G$4:$G$1048576,"=直TEL",顧客データ!$H$4:$H$1048576,"=資料請求",顧客データ!$D$4:$D$1048576,"=*成約*")</f>
        <v>0</v>
      </c>
      <c r="AI15" s="35" t="e">
        <f t="shared" si="5"/>
        <v>#DIV/0!</v>
      </c>
      <c r="AK15" t="s">
        <v>20</v>
      </c>
      <c r="AL15" s="2">
        <f>COUNTIFS(顧客データ!$F$4:$F$1048576,"&gt;=2023/1/1",顧客データ!$F$4:$F$1048576,"&lt;=2023/1/31",顧客データ!$G$4:$G$1048576,"=取引業者紹介")</f>
        <v>0</v>
      </c>
      <c r="AM15" s="2">
        <f>COUNTIFS(顧客データ!$F$4:$F$1048576,"&gt;=2023/1/1",顧客データ!$F$4:$F$1048576,"&lt;=2023/1/31",顧客データ!$G$4:$G$1048576,"=取引業者紹介",顧客データ!$J$4:$J$1048576,"&gt;=2023/1/1")</f>
        <v>0</v>
      </c>
      <c r="AN15" s="35" t="e">
        <f t="shared" si="17"/>
        <v>#DIV/0!</v>
      </c>
      <c r="AO15" s="2">
        <f>COUNTIFS(顧客データ!$F$4:$F$1048576,"&gt;=2023/1/1",顧客データ!$F$4:$F$1048576,"&lt;=2023/1/31",顧客データ!$G$4:$G$1048576,"=取引業者紹介",顧客データ!$D$4:$D$1048576,"=*成約*")</f>
        <v>0</v>
      </c>
      <c r="AP15" s="35" t="e">
        <f t="shared" si="6"/>
        <v>#DIV/0!</v>
      </c>
      <c r="AR15" t="s">
        <v>20</v>
      </c>
      <c r="AS15" s="2">
        <f>COUNTIFS(顧客データ!$F$4:$F$1048576,"&gt;=2023/1/1",顧客データ!$F$4:$F$1048576,"&lt;=2023/1/31",顧客データ!$G$4:$G$1048576,"=みんウエ")</f>
        <v>2</v>
      </c>
      <c r="AT15" s="2">
        <f>COUNTIFS(顧客データ!$F$4:$F$1048576,"&gt;=2023/1/1",顧客データ!$F$4:$F$1048576,"&lt;=2023/1/31",顧客データ!$G$4:$G$1048576,"=みんウエ",顧客データ!$J$4:$J$1048576,"&gt;=2023/1/1")</f>
        <v>0</v>
      </c>
      <c r="AU15" s="35">
        <f t="shared" si="18"/>
        <v>0</v>
      </c>
      <c r="AV15" s="2">
        <f>COUNTIFS(顧客データ!$F$4:$F$1048576,"&gt;=2023/1/1",顧客データ!$F$4:$F$1048576,"&lt;=2023/1/31",顧客データ!$G$4:$G$1048576,"=みんウエ",顧客データ!$D$4:$D$1048576,"=*成約*")</f>
        <v>0</v>
      </c>
      <c r="AW15" s="35" t="e">
        <f t="shared" si="7"/>
        <v>#DIV/0!</v>
      </c>
      <c r="AY15" t="s">
        <v>20</v>
      </c>
      <c r="AZ15" s="2">
        <f>COUNTIFS(顧客データ!$F$4:$F$1048576,"&gt;=2023/1/1",顧客データ!$F$4:$F$1048576,"&lt;=2023/1/31",顧客データ!$G$4:$G$1048576,"=小さな結婚式")</f>
        <v>3</v>
      </c>
      <c r="BA15" s="2">
        <f>COUNTIFS(顧客データ!$F$4:$F$1048576,"&gt;=2023/1/1",顧客データ!$F$4:$F$1048576,"&lt;=2023/1/31",顧客データ!$G$4:$G$1048576,"=小さな結婚式",顧客データ!$J$4:$J$1048576,"&gt;=2023/1/1")</f>
        <v>3</v>
      </c>
      <c r="BB15" s="35">
        <f t="shared" si="19"/>
        <v>1</v>
      </c>
      <c r="BC15" s="2">
        <f>COUNTIFS(顧客データ!$F$4:$F$1048576,"&gt;=2023/1/1",顧客データ!$F$4:$F$1048576,"&lt;=2023/1/31",顧客データ!$G$4:$G$1048576,"=小さな結婚式",顧客データ!$D$4:$D$1048576,"=*成約*")</f>
        <v>0</v>
      </c>
      <c r="BD15" s="35">
        <f t="shared" si="8"/>
        <v>0</v>
      </c>
      <c r="BF15" t="s">
        <v>20</v>
      </c>
      <c r="BG15" s="2">
        <f>COUNTIFS(顧客データ!$F$4:$F$1048576,"&gt;=2023/1/1",顧客データ!$F$4:$F$1048576,"&lt;=2023/1/31",顧客データ!$G$4:$G$1048576,"=ブラスポ")</f>
        <v>0</v>
      </c>
      <c r="BH15" s="2">
        <f>COUNTIFS(顧客データ!$F$4:$F$1048576,"&gt;=2023/1/1",顧客データ!$F$4:$F$1048576,"&lt;=2023/1/31",顧客データ!$G$4:$G$1048576,"=ブラスポ",顧客データ!$J$4:$J$1048576,"&gt;=2023/1/1")</f>
        <v>0</v>
      </c>
      <c r="BI15" s="35" t="e">
        <f t="shared" si="20"/>
        <v>#DIV/0!</v>
      </c>
      <c r="BJ15" s="2">
        <f>COUNTIFS(顧客データ!$F$4:$F$1048576,"&gt;=2023/1/1",顧客データ!$F$4:$F$1048576,"&lt;=2023/1/31",顧客データ!$G$4:$G$1048576,"=ブラスポ",顧客データ!$D$4:$D$1048576,"=*成約*")</f>
        <v>0</v>
      </c>
      <c r="BK15" s="35" t="e">
        <f t="shared" si="9"/>
        <v>#DIV/0!</v>
      </c>
      <c r="BM15" t="s">
        <v>20</v>
      </c>
      <c r="BN15" s="2">
        <f>COUNTIFS(顧客データ!$F$4:$F$1048576,"&gt;=2023/1/1",顧客データ!$F$4:$F$1048576,"&lt;=2023/1/31",顧客データ!$G$4:$G$1048576,"=ゼクナビ")</f>
        <v>0</v>
      </c>
      <c r="BO15" s="2">
        <f>COUNTIFS(顧客データ!$F$4:$F$1048576,"&gt;=2023/1/1",顧客データ!$F$4:$F$1048576,"&lt;=2023/1/31",顧客データ!$G$4:$G$1048576,"=ゼクナビ",顧客データ!$J$4:$J$1048576,"&gt;=2023/1/1")</f>
        <v>0</v>
      </c>
      <c r="BP15" s="35" t="e">
        <f t="shared" si="21"/>
        <v>#DIV/0!</v>
      </c>
      <c r="BQ15" s="2">
        <f>COUNTIFS(顧客データ!$F$4:$F$1048576,"&gt;=2023/1/1",顧客データ!$F$4:$F$1048576,"&lt;=2023/1/31",顧客データ!$G$4:$G$1048576,"=ゼクナビ",顧客データ!$D$4:$D$1048576,"=*成約*")</f>
        <v>0</v>
      </c>
      <c r="BR15" s="35" t="e">
        <f t="shared" si="10"/>
        <v>#DIV/0!</v>
      </c>
      <c r="BT15" t="s">
        <v>20</v>
      </c>
      <c r="BU15" s="2">
        <f>COUNTIFS(顧客データ!$F$4:$F$1048576,"&gt;=2023/1/1",顧客データ!$F$4:$F$1048576,"&lt;=2023/1/31",顧客データ!$G$4:$G$1048576,"=その他")</f>
        <v>2</v>
      </c>
      <c r="BV15" s="2">
        <f>COUNTIFS(顧客データ!$F$4:$F$1048576,"&gt;=2023/1/1",顧客データ!$F$4:$F$1048576,"&lt;=2023/1/31",顧客データ!$G$4:$G$1048576,"=その他",顧客データ!$J$4:$J$1048576,"&gt;=2023/1/1")</f>
        <v>2</v>
      </c>
      <c r="BW15" s="35">
        <f t="shared" si="22"/>
        <v>1</v>
      </c>
      <c r="BX15" s="2">
        <f>COUNTIFS(顧客データ!$F$4:$F$1048576,"&gt;=2023/1/1",顧客データ!$F$4:$F$1048576,"&lt;=2023/1/31",顧客データ!$G$4:$G$1048576,"=その他",顧客データ!$D$4:$D$1048576,"=*成約*")</f>
        <v>0</v>
      </c>
      <c r="BY15" s="35">
        <f t="shared" si="11"/>
        <v>0</v>
      </c>
    </row>
    <row r="16" spans="2:77" x14ac:dyDescent="0.5">
      <c r="B16" t="s">
        <v>21</v>
      </c>
      <c r="C16" s="2">
        <f t="shared" si="0"/>
        <v>0</v>
      </c>
      <c r="D16" s="2">
        <f t="shared" si="0"/>
        <v>0</v>
      </c>
      <c r="E16" s="35" t="e">
        <f t="shared" si="12"/>
        <v>#DIV/0!</v>
      </c>
      <c r="F16" s="2">
        <f t="shared" si="0"/>
        <v>0</v>
      </c>
      <c r="G16" s="35" t="e">
        <f t="shared" si="1"/>
        <v>#DIV/0!</v>
      </c>
      <c r="I16" t="s">
        <v>21</v>
      </c>
      <c r="J16" s="2">
        <f>COUNTIFS(顧客データ!$F$4:$F$1048576,"&gt;=2023/2/1",顧客データ!$F$4:$F$1048576,"&lt;=2023/2/28",顧客データ!$G$4:$G$1048576,"=自社HP",顧客データ!$H$4:$H$1048576,"=フェア")+COUNTIFS(顧客データ!$F$4:$F$1048576,"&gt;=2023/2/1",顧客データ!$F$4:$F$1048576,"&lt;=2022/2/28",顧客データ!$G$4:$G$1048576,"=自社HP",顧客データ!$H$4:$H$1048576,"=見学")</f>
        <v>0</v>
      </c>
      <c r="K16" s="2">
        <f>COUNTIFS(顧客データ!$F$4:$F$1048576,"&gt;=2023/2/1",顧客データ!$F$4:$F$1048576,"&lt;=2023/2/28",顧客データ!$G$4:$G$1048576,"=自社HP",顧客データ!$H$4:$H$1048576,"=フェア",顧客データ!$J$4:$J$1048576,"&gt;=2023/2/1")+COUNTIFS(顧客データ!$F$4:$F$1048576,"&gt;=2023/2/1",顧客データ!$F$4:$F$1048576,"&lt;=2023/2/28",顧客データ!$G$4:$G$1048576,"=自社HP",顧客データ!$H$4:$H$1048576,"=見学",顧客データ!$J$4:$J$1048576,"&gt;=2023/2/1")</f>
        <v>0</v>
      </c>
      <c r="L16" s="35" t="e">
        <f t="shared" si="13"/>
        <v>#DIV/0!</v>
      </c>
      <c r="M16" s="2">
        <f>COUNTIFS(顧客データ!$F$4:$F$1048576,"&gt;=2023/2/1",顧客データ!$F$4:$F$1048576,"&lt;=2023/2/28",顧客データ!$G$4:$G$1048576,"=自社HP",顧客データ!$H$4:$H$1048576,"=フェア",顧客データ!$D$4:$D$1048576,"=*成約*")+COUNTIFS(顧客データ!$F$4:$F$1048576,"&gt;=2023/2/1",顧客データ!$F$4:$F$1048576,"&lt;=2023/2/28",顧客データ!$G$4:$G$1048576,"=自社HP",顧客データ!$H$4:$H$1048576,"=見学",顧客データ!$D$4:$D$1048576,"=*成約*")</f>
        <v>0</v>
      </c>
      <c r="N16" s="35" t="e">
        <f t="shared" si="2"/>
        <v>#DIV/0!</v>
      </c>
      <c r="P16" t="s">
        <v>21</v>
      </c>
      <c r="Q16" s="2">
        <f>COUNTIFS(顧客データ!$F$4:$F$1048576,"&gt;=2023/2/1",顧客データ!$F$4:$F$1048576,"&lt;=2023/2/28",顧客データ!$G$4:$G$1048576,"=自社HP",顧客データ!$H$4:$H$1048576,"=資料請求")</f>
        <v>0</v>
      </c>
      <c r="R16" s="2">
        <f>COUNTIFS(顧客データ!$F$4:$F$1048576,"&gt;=2023/2/1",顧客データ!$F$4:$F$1048576,"&lt;=2023/2/28",顧客データ!$G$4:$G$1048576,"=自社HP",顧客データ!$H$4:$H$1048576,"=資料請求",顧客データ!$J$4:$J$1048576,"&gt;=2023/2/1")</f>
        <v>0</v>
      </c>
      <c r="S16" s="35" t="e">
        <f t="shared" si="14"/>
        <v>#DIV/0!</v>
      </c>
      <c r="T16" s="2">
        <f>COUNTIFS(顧客データ!$F$4:$F$1048576,"&gt;=2023/2/1",顧客データ!$F$4:$F$1048576,"&lt;=2023/2/28",顧客データ!$G$4:$G$1048576,"=自社HP",顧客データ!$H$4:$H$1048576,"=資料請求",顧客データ!$D$4:$D$1048576,"=*成約*")</f>
        <v>0</v>
      </c>
      <c r="U16" s="35" t="e">
        <f t="shared" si="3"/>
        <v>#DIV/0!</v>
      </c>
      <c r="W16" t="s">
        <v>21</v>
      </c>
      <c r="X16" s="2">
        <f>COUNTIFS(顧客データ!$F$4:$F$1048576,"&gt;=2023/2/1",顧客データ!$F$4:$F$1048576,"&lt;=2023/2/28",顧客データ!$G$4:$G$1048576,"=直TEL",顧客データ!$H$4:$H$1048576,"=フェア")+COUNTIFS(顧客データ!$F$4:$F$1048576,"&gt;=2023/2/1",顧客データ!$F$4:$F$1048576,"&lt;=2022/2/28",顧客データ!$G$4:$G$1048576,"=直TEL",顧客データ!$H$4:$H$1048576,"=見学")</f>
        <v>0</v>
      </c>
      <c r="Y16" s="2">
        <f>COUNTIFS(顧客データ!$F$4:$F$1048576,"&gt;=2023/2/1",顧客データ!$F$4:$F$1048576,"&lt;=2023/2/28",顧客データ!$G$4:$G$1048576,"=直TEL",顧客データ!$H$4:$H$1048576,"=フェア",顧客データ!$J$4:$J$1048576,"&gt;=2023/2/1")+COUNTIFS(顧客データ!$F$4:$F$1048576,"&gt;=2023/2/1",顧客データ!$F$4:$F$1048576,"&lt;=2023/2/28",顧客データ!$G$4:$G$1048576,"=直TEL",顧客データ!$H$4:$H$1048576,"=見学",顧客データ!$J$4:$J$1048576,"&gt;=2023/2/1")</f>
        <v>0</v>
      </c>
      <c r="Z16" s="35" t="e">
        <f t="shared" si="15"/>
        <v>#DIV/0!</v>
      </c>
      <c r="AA16" s="2">
        <f>COUNTIFS(顧客データ!$F$4:$F$1048576,"&gt;=2023/2/1",顧客データ!$F$4:$F$1048576,"&lt;=2023/2/28",顧客データ!$G$4:$G$1048576,"=直TEL",顧客データ!$H$4:$H$1048576,"=フェア",顧客データ!$D$4:$D$1048576,"=*成約*")+COUNTIFS(顧客データ!$F$4:$F$1048576,"&gt;=2023/2/1",顧客データ!$F$4:$F$1048576,"&lt;=2023/2/28",顧客データ!$G$4:$G$1048576,"=直TEL",顧客データ!$H$4:$H$1048576,"=見学",顧客データ!$D$4:$D$1048576,"=*成約*")</f>
        <v>0</v>
      </c>
      <c r="AB16" s="35" t="e">
        <f t="shared" si="4"/>
        <v>#DIV/0!</v>
      </c>
      <c r="AD16" t="s">
        <v>21</v>
      </c>
      <c r="AE16" s="2">
        <f>COUNTIFS(顧客データ!$F$4:$F$1048576,"&gt;=2023/2/1",顧客データ!$F$4:$F$1048576,"&lt;=2023/2/28",顧客データ!$G$4:$G$1048576,"=直TEL",顧客データ!$H$4:$H$1048576,"=資料請求")</f>
        <v>0</v>
      </c>
      <c r="AF16" s="2">
        <f>COUNTIFS(顧客データ!$F$4:$F$1048576,"&gt;=2023/2/1",顧客データ!$F$4:$F$1048576,"&lt;=2023/2/28",顧客データ!$G$4:$G$1048576,"=直TEL",顧客データ!$H$4:$H$1048576,"=資料請求",顧客データ!$J$4:$J$1048576,"&gt;=2023/2/1")</f>
        <v>0</v>
      </c>
      <c r="AG16" s="35" t="e">
        <f>AF16/AE16</f>
        <v>#DIV/0!</v>
      </c>
      <c r="AH16" s="2">
        <f>COUNTIFS(顧客データ!$F$4:$F$1048576,"&gt;=2023/2/1",顧客データ!$F$4:$F$1048576,"&lt;=2023/2/28",顧客データ!$G$4:$G$1048576,"=直TEL",顧客データ!$H$4:$H$1048576,"=資料請求",顧客データ!$D$4:$D$1048576,"=*成約*")</f>
        <v>0</v>
      </c>
      <c r="AI16" s="35" t="e">
        <f t="shared" si="5"/>
        <v>#DIV/0!</v>
      </c>
      <c r="AK16" t="s">
        <v>21</v>
      </c>
      <c r="AL16" s="2">
        <f>COUNTIFS(顧客データ!$F$4:$F$1048576,"&gt;=2023/2/1",顧客データ!$F$4:$F$1048576,"&lt;=2023/2/28",顧客データ!$G$4:$G$1048576,"=取引業者紹介")</f>
        <v>0</v>
      </c>
      <c r="AM16" s="2">
        <f>COUNTIFS(顧客データ!$F$4:$F$1048576,"&gt;=2023/2/1",顧客データ!$F$4:$F$1048576,"&lt;=2023/2/28",顧客データ!$G$4:$G$1048576,"=取引業者紹介",顧客データ!$J$4:$J$1048576,"&gt;=2023/2/1")</f>
        <v>0</v>
      </c>
      <c r="AN16" s="35" t="e">
        <f t="shared" si="17"/>
        <v>#DIV/0!</v>
      </c>
      <c r="AO16" s="2">
        <f>COUNTIFS(顧客データ!$F$4:$F$1048576,"&gt;=2023/2/1",顧客データ!$F$4:$F$1048576,"&lt;=2023/2/28",顧客データ!$G$4:$G$1048576,"=取引業者紹介",顧客データ!$D$4:$D$1048576,"=*成約*")</f>
        <v>0</v>
      </c>
      <c r="AP16" s="35" t="e">
        <f t="shared" si="6"/>
        <v>#DIV/0!</v>
      </c>
      <c r="AR16" t="s">
        <v>21</v>
      </c>
      <c r="AS16" s="2">
        <f>COUNTIFS(顧客データ!$F$4:$F$1048576,"&gt;=2023/2/1",顧客データ!$F$4:$F$1048576,"&lt;=2023/2/28",顧客データ!$G$4:$G$1048576,"=みんウエ")</f>
        <v>0</v>
      </c>
      <c r="AT16" s="2">
        <f>COUNTIFS(顧客データ!$F$4:$F$1048576,"&gt;=2023/2/1",顧客データ!$F$4:$F$1048576,"&lt;=2023/2/28",顧客データ!$G$4:$G$1048576,"=みんウエ",顧客データ!$J$4:$J$1048576,"&gt;=2023/2/1")</f>
        <v>0</v>
      </c>
      <c r="AU16" s="35" t="e">
        <f t="shared" si="18"/>
        <v>#DIV/0!</v>
      </c>
      <c r="AV16" s="2">
        <f>COUNTIFS(顧客データ!$F$4:$F$1048576,"&gt;=2023/2/1",顧客データ!$F$4:$F$1048576,"&lt;=2023/2/28",顧客データ!$G$4:$G$1048576,"=みんウエ",顧客データ!$D$4:$D$1048576,"=*成約*")</f>
        <v>0</v>
      </c>
      <c r="AW16" s="35" t="e">
        <f t="shared" si="7"/>
        <v>#DIV/0!</v>
      </c>
      <c r="AY16" t="s">
        <v>21</v>
      </c>
      <c r="AZ16" s="2">
        <f>COUNTIFS(顧客データ!$F$4:$F$1048576,"&gt;=2023/2/1",顧客データ!$F$4:$F$1048576,"&lt;=2023/2/28",顧客データ!$G$4:$G$1048576,"=小さな結婚式")</f>
        <v>0</v>
      </c>
      <c r="BA16" s="2">
        <f>COUNTIFS(顧客データ!$F$4:$F$1048576,"&gt;=2023/2/1",顧客データ!$F$4:$F$1048576,"&lt;=2023/2/28",顧客データ!$G$4:$G$1048576,"=小さな結婚式",顧客データ!$J$4:$J$1048576,"&gt;=2023/2/1")</f>
        <v>0</v>
      </c>
      <c r="BB16" s="35" t="e">
        <f t="shared" si="19"/>
        <v>#DIV/0!</v>
      </c>
      <c r="BC16" s="2">
        <f>COUNTIFS(顧客データ!$F$4:$F$1048576,"&gt;=2023/2/1",顧客データ!$F$4:$F$1048576,"&lt;=2023/2/28",顧客データ!$G$4:$G$1048576,"=小さな結婚式",顧客データ!$D$4:$D$1048576,"=*成約*")</f>
        <v>0</v>
      </c>
      <c r="BD16" s="35" t="e">
        <f t="shared" si="8"/>
        <v>#DIV/0!</v>
      </c>
      <c r="BF16" t="s">
        <v>21</v>
      </c>
      <c r="BG16" s="2">
        <f>COUNTIFS(顧客データ!$F$4:$F$1048576,"&gt;=2023/2/1",顧客データ!$F$4:$F$1048576,"&lt;=2023/2/28",顧客データ!$G$4:$G$1048576,"=ブラスポ")</f>
        <v>0</v>
      </c>
      <c r="BH16" s="2">
        <f>COUNTIFS(顧客データ!$F$4:$F$1048576,"&gt;=2023/2/1",顧客データ!$F$4:$F$1048576,"&lt;=2023/2/28",顧客データ!$G$4:$G$1048576,"=ブラスポ",顧客データ!$J$4:$J$1048576,"&gt;=2023/2/1")</f>
        <v>0</v>
      </c>
      <c r="BI16" s="35" t="e">
        <f t="shared" si="20"/>
        <v>#DIV/0!</v>
      </c>
      <c r="BJ16" s="2">
        <f>COUNTIFS(顧客データ!$F$4:$F$1048576,"&gt;=2023/2/1",顧客データ!$F$4:$F$1048576,"&lt;=2023/2/28",顧客データ!$G$4:$G$1048576,"=ブラスポ",顧客データ!$D$4:$D$1048576,"=*成約*")</f>
        <v>0</v>
      </c>
      <c r="BK16" s="35" t="e">
        <f t="shared" si="9"/>
        <v>#DIV/0!</v>
      </c>
      <c r="BM16" t="s">
        <v>21</v>
      </c>
      <c r="BN16" s="2">
        <f>COUNTIFS(顧客データ!$F$4:$F$1048576,"&gt;=2023/2/1",顧客データ!$F$4:$F$1048576,"&lt;=2023/2/28",顧客データ!$G$4:$G$1048576,"=ゼクナビ")</f>
        <v>0</v>
      </c>
      <c r="BO16" s="2">
        <f>COUNTIFS(顧客データ!$F$4:$F$1048576,"&gt;=2023/2/1",顧客データ!$F$4:$F$1048576,"&lt;=2023/2/28",顧客データ!$G$4:$G$1048576,"=ゼクナビ",顧客データ!$J$4:$J$1048576,"&gt;=2023/2/1")</f>
        <v>0</v>
      </c>
      <c r="BP16" s="35" t="e">
        <f t="shared" si="21"/>
        <v>#DIV/0!</v>
      </c>
      <c r="BQ16" s="2">
        <f>COUNTIFS(顧客データ!$F$4:$F$1048576,"&gt;=2023/2/1",顧客データ!$F$4:$F$1048576,"&lt;=2023/2/28",顧客データ!$G$4:$G$1048576,"=ゼクナビ",顧客データ!$D$4:$D$1048576,"=*成約*")</f>
        <v>0</v>
      </c>
      <c r="BR16" s="35" t="e">
        <f t="shared" si="10"/>
        <v>#DIV/0!</v>
      </c>
      <c r="BT16" t="s">
        <v>21</v>
      </c>
      <c r="BU16" s="2">
        <f>COUNTIFS(顧客データ!$F$4:$F$1048576,"&gt;=2023/2/1",顧客データ!$F$4:$F$1048576,"&lt;=2023/2/28",顧客データ!$G$4:$G$1048576,"=その他")</f>
        <v>0</v>
      </c>
      <c r="BV16" s="2">
        <f>COUNTIFS(顧客データ!$F$4:$F$1048576,"&gt;=2023/2/1",顧客データ!$F$4:$F$1048576,"&lt;=2023/2/28",顧客データ!$G$4:$G$1048576,"=その他",顧客データ!$J$4:$J$1048576,"&gt;=2023/2/1")</f>
        <v>0</v>
      </c>
      <c r="BW16" s="35" t="e">
        <f t="shared" si="22"/>
        <v>#DIV/0!</v>
      </c>
      <c r="BX16" s="2">
        <f>COUNTIFS(顧客データ!$F$4:$F$1048576,"&gt;=2023/2/1",顧客データ!$F$4:$F$1048576,"&lt;=2023/2/28",顧客データ!$G$4:$G$1048576,"=その他",顧客データ!$D$4:$D$1048576,"=*成約*")</f>
        <v>0</v>
      </c>
      <c r="BY16" s="35" t="e">
        <f t="shared" si="11"/>
        <v>#DIV/0!</v>
      </c>
    </row>
    <row r="17" spans="2:77" x14ac:dyDescent="0.5">
      <c r="B17" t="s">
        <v>22</v>
      </c>
      <c r="C17" s="2">
        <f>SUM(C5:C16)</f>
        <v>162</v>
      </c>
      <c r="D17" s="2">
        <f>SUM(D5:D16)</f>
        <v>129</v>
      </c>
      <c r="E17" s="35">
        <f>D17/C17</f>
        <v>0.79629629629629628</v>
      </c>
      <c r="F17" s="2">
        <f>SUM(F5:F16)</f>
        <v>48</v>
      </c>
      <c r="G17" s="35">
        <f t="shared" si="1"/>
        <v>0.37209302325581395</v>
      </c>
      <c r="I17" t="s">
        <v>22</v>
      </c>
      <c r="J17" s="2">
        <f>SUM(J5:J16)</f>
        <v>75</v>
      </c>
      <c r="K17" s="2">
        <f>SUM(K5:K16)</f>
        <v>69</v>
      </c>
      <c r="L17" s="35">
        <f t="shared" si="13"/>
        <v>0.92</v>
      </c>
      <c r="M17" s="2">
        <f>SUM(M5:M16)</f>
        <v>25</v>
      </c>
      <c r="N17" s="35">
        <f t="shared" si="2"/>
        <v>0.36231884057971014</v>
      </c>
      <c r="P17" t="s">
        <v>22</v>
      </c>
      <c r="Q17" s="2">
        <f>SUM(Q5:Q16)</f>
        <v>21</v>
      </c>
      <c r="R17" s="2">
        <f>SUM(R5:R16)</f>
        <v>5</v>
      </c>
      <c r="S17" s="35">
        <f t="shared" ref="S17" si="23">R17/Q17</f>
        <v>0.23809523809523808</v>
      </c>
      <c r="T17" s="2">
        <f>SUM(T5:T16)</f>
        <v>2</v>
      </c>
      <c r="U17" s="35">
        <f t="shared" ref="U17" si="24">T17/R17</f>
        <v>0.4</v>
      </c>
      <c r="W17" t="s">
        <v>22</v>
      </c>
      <c r="X17" s="2">
        <f>SUM(X5:X16)</f>
        <v>7</v>
      </c>
      <c r="Y17" s="2">
        <f>SUM(Y5:Y16)</f>
        <v>7</v>
      </c>
      <c r="Z17" s="35">
        <f t="shared" si="15"/>
        <v>1</v>
      </c>
      <c r="AA17" s="2">
        <f>SUM(AA5:AA16)</f>
        <v>4</v>
      </c>
      <c r="AB17" s="35">
        <f t="shared" si="4"/>
        <v>0.5714285714285714</v>
      </c>
      <c r="AD17" t="s">
        <v>22</v>
      </c>
      <c r="AE17" s="2">
        <f>SUM(AE5:AE16)</f>
        <v>0</v>
      </c>
      <c r="AF17" s="2">
        <f>SUM(AF5:AF16)</f>
        <v>0</v>
      </c>
      <c r="AG17" s="35" t="e">
        <f t="shared" si="16"/>
        <v>#DIV/0!</v>
      </c>
      <c r="AH17" s="2">
        <f>SUM(AH5:AH16)</f>
        <v>0</v>
      </c>
      <c r="AI17" s="35" t="e">
        <f>AH17/AF17</f>
        <v>#DIV/0!</v>
      </c>
      <c r="AK17" t="s">
        <v>22</v>
      </c>
      <c r="AL17" s="2">
        <f>SUM(AL5:AL16)</f>
        <v>11</v>
      </c>
      <c r="AM17" s="2">
        <f>SUM(AM5:AM16)</f>
        <v>10</v>
      </c>
      <c r="AN17" s="35">
        <f t="shared" si="17"/>
        <v>0.90909090909090906</v>
      </c>
      <c r="AO17" s="2">
        <f>SUM(AO5:AO16)</f>
        <v>4</v>
      </c>
      <c r="AP17" s="35">
        <f t="shared" si="6"/>
        <v>0.4</v>
      </c>
      <c r="AR17" t="s">
        <v>22</v>
      </c>
      <c r="AS17" s="2">
        <f>SUM(AS5:AS16)</f>
        <v>11</v>
      </c>
      <c r="AT17" s="2">
        <f>SUM(AT5:AT16)</f>
        <v>4</v>
      </c>
      <c r="AU17" s="35">
        <f t="shared" si="18"/>
        <v>0.36363636363636365</v>
      </c>
      <c r="AV17" s="2">
        <f>SUM(AV5:AV16)</f>
        <v>1</v>
      </c>
      <c r="AW17" s="35">
        <f t="shared" si="7"/>
        <v>0.25</v>
      </c>
      <c r="AY17" t="s">
        <v>22</v>
      </c>
      <c r="AZ17" s="2">
        <f>SUM(AZ5:AZ16)</f>
        <v>10</v>
      </c>
      <c r="BA17" s="2">
        <f>SUM(BA5:BA16)</f>
        <v>10</v>
      </c>
      <c r="BB17" s="35">
        <f t="shared" si="19"/>
        <v>1</v>
      </c>
      <c r="BC17" s="2">
        <f>SUM(BC5:BC16)</f>
        <v>6</v>
      </c>
      <c r="BD17" s="35">
        <f t="shared" si="8"/>
        <v>0.6</v>
      </c>
      <c r="BF17" t="s">
        <v>22</v>
      </c>
      <c r="BG17" s="2">
        <f>SUM(BG5:BG16)</f>
        <v>4</v>
      </c>
      <c r="BH17" s="2">
        <f>SUM(BH5:BH16)</f>
        <v>4</v>
      </c>
      <c r="BI17" s="35">
        <f t="shared" si="20"/>
        <v>1</v>
      </c>
      <c r="BJ17" s="2">
        <f>SUM(BJ5:BJ16)</f>
        <v>0</v>
      </c>
      <c r="BK17" s="35">
        <f t="shared" si="9"/>
        <v>0</v>
      </c>
      <c r="BM17" t="s">
        <v>22</v>
      </c>
      <c r="BN17" s="2">
        <f>SUM(BN5:BN16)</f>
        <v>5</v>
      </c>
      <c r="BO17" s="2">
        <f>SUM(BO5:BO16)</f>
        <v>3</v>
      </c>
      <c r="BP17" s="35">
        <f t="shared" si="21"/>
        <v>0.6</v>
      </c>
      <c r="BQ17" s="2">
        <f>SUM(BQ5:BQ16)</f>
        <v>1</v>
      </c>
      <c r="BR17" s="35">
        <f t="shared" si="10"/>
        <v>0.33333333333333331</v>
      </c>
      <c r="BT17" t="s">
        <v>22</v>
      </c>
      <c r="BU17" s="2">
        <f>SUM(BU5:BU16)</f>
        <v>18</v>
      </c>
      <c r="BV17" s="2">
        <f>SUM(BV5:BV16)</f>
        <v>17</v>
      </c>
      <c r="BW17" s="35">
        <f t="shared" si="22"/>
        <v>0.94444444444444442</v>
      </c>
      <c r="BX17" s="2">
        <f>SUM(BX5:BX16)</f>
        <v>5</v>
      </c>
      <c r="BY17" s="35">
        <f t="shared" si="11"/>
        <v>0.29411764705882354</v>
      </c>
    </row>
    <row r="18" spans="2:77" x14ac:dyDescent="0.5">
      <c r="C18" s="1"/>
      <c r="D18" s="1"/>
      <c r="E18" s="3"/>
      <c r="F18" s="1"/>
      <c r="G18" s="3"/>
      <c r="J18" s="1"/>
      <c r="K18" s="1"/>
      <c r="L18" s="3"/>
      <c r="M18" s="1"/>
      <c r="N18" s="3"/>
      <c r="Q18" s="1"/>
      <c r="R18" s="1"/>
      <c r="S18" s="3"/>
      <c r="T18" s="1"/>
      <c r="U18" s="3"/>
      <c r="X18" s="1"/>
      <c r="Y18" s="1"/>
      <c r="Z18" s="3"/>
      <c r="AA18" s="1"/>
      <c r="AB18" s="3"/>
      <c r="AE18" s="1"/>
      <c r="AF18" s="1"/>
      <c r="AG18" s="3"/>
      <c r="AH18" s="1"/>
      <c r="AI18" s="3"/>
    </row>
    <row r="20" spans="2:77" x14ac:dyDescent="0.5">
      <c r="B20" s="4" t="s">
        <v>94</v>
      </c>
    </row>
    <row r="21" spans="2:77" x14ac:dyDescent="0.5">
      <c r="B21" s="4"/>
      <c r="C21" s="77" t="s">
        <v>9</v>
      </c>
      <c r="D21" s="77"/>
      <c r="E21" s="77"/>
      <c r="F21" s="77" t="s">
        <v>10</v>
      </c>
      <c r="G21" s="77"/>
      <c r="H21" s="77"/>
      <c r="I21" s="77" t="s">
        <v>11</v>
      </c>
      <c r="J21" s="77"/>
      <c r="K21" s="77"/>
      <c r="L21" s="77" t="s">
        <v>13</v>
      </c>
      <c r="M21" s="77"/>
      <c r="N21" s="77"/>
      <c r="O21" s="77" t="s">
        <v>14</v>
      </c>
      <c r="P21" s="77"/>
      <c r="Q21" s="77"/>
      <c r="R21" s="77" t="s">
        <v>15</v>
      </c>
      <c r="S21" s="77"/>
      <c r="T21" s="77"/>
      <c r="U21" s="77" t="s">
        <v>16</v>
      </c>
      <c r="V21" s="77"/>
      <c r="W21" s="77"/>
      <c r="X21" s="77" t="s">
        <v>17</v>
      </c>
      <c r="Y21" s="77"/>
      <c r="Z21" s="77"/>
      <c r="AA21" s="77" t="s">
        <v>18</v>
      </c>
      <c r="AB21" s="77"/>
      <c r="AC21" s="77"/>
      <c r="AD21" s="77" t="s">
        <v>19</v>
      </c>
      <c r="AE21" s="77"/>
      <c r="AF21" s="77"/>
      <c r="AG21" s="77" t="s">
        <v>20</v>
      </c>
      <c r="AH21" s="77"/>
      <c r="AI21" s="77"/>
      <c r="AJ21" s="77" t="s">
        <v>21</v>
      </c>
      <c r="AK21" s="77"/>
      <c r="AL21" s="77"/>
      <c r="AM21" s="77" t="s">
        <v>22</v>
      </c>
      <c r="AN21" s="77"/>
      <c r="AO21" s="77"/>
    </row>
    <row r="22" spans="2:77" x14ac:dyDescent="0.5">
      <c r="C22" s="1" t="s">
        <v>7</v>
      </c>
      <c r="D22" s="1" t="s">
        <v>8</v>
      </c>
      <c r="E22" s="1" t="s">
        <v>23</v>
      </c>
      <c r="F22" s="1" t="s">
        <v>7</v>
      </c>
      <c r="G22" s="1" t="s">
        <v>8</v>
      </c>
      <c r="H22" s="1" t="s">
        <v>23</v>
      </c>
      <c r="I22" s="1" t="s">
        <v>7</v>
      </c>
      <c r="J22" s="1" t="s">
        <v>8</v>
      </c>
      <c r="K22" s="1" t="s">
        <v>23</v>
      </c>
      <c r="L22" s="1" t="s">
        <v>7</v>
      </c>
      <c r="M22" s="1" t="s">
        <v>8</v>
      </c>
      <c r="N22" s="1" t="s">
        <v>23</v>
      </c>
      <c r="O22" s="1" t="s">
        <v>7</v>
      </c>
      <c r="P22" s="1" t="s">
        <v>8</v>
      </c>
      <c r="Q22" s="1" t="s">
        <v>23</v>
      </c>
      <c r="R22" s="1" t="s">
        <v>7</v>
      </c>
      <c r="S22" s="1" t="s">
        <v>8</v>
      </c>
      <c r="T22" s="1" t="s">
        <v>23</v>
      </c>
      <c r="U22" s="1" t="s">
        <v>7</v>
      </c>
      <c r="V22" s="1" t="s">
        <v>8</v>
      </c>
      <c r="W22" s="1" t="s">
        <v>23</v>
      </c>
      <c r="X22" s="1" t="s">
        <v>7</v>
      </c>
      <c r="Y22" s="1" t="s">
        <v>8</v>
      </c>
      <c r="Z22" s="1" t="s">
        <v>23</v>
      </c>
      <c r="AA22" s="1" t="s">
        <v>7</v>
      </c>
      <c r="AB22" s="1" t="s">
        <v>8</v>
      </c>
      <c r="AC22" s="1" t="s">
        <v>23</v>
      </c>
      <c r="AD22" s="1" t="s">
        <v>7</v>
      </c>
      <c r="AE22" s="1" t="s">
        <v>8</v>
      </c>
      <c r="AF22" s="1" t="s">
        <v>23</v>
      </c>
      <c r="AG22" s="1" t="s">
        <v>7</v>
      </c>
      <c r="AH22" s="1" t="s">
        <v>8</v>
      </c>
      <c r="AI22" s="1" t="s">
        <v>23</v>
      </c>
      <c r="AJ22" s="1" t="s">
        <v>7</v>
      </c>
      <c r="AK22" s="1" t="s">
        <v>8</v>
      </c>
      <c r="AL22" s="1" t="s">
        <v>23</v>
      </c>
      <c r="AM22" s="1" t="s">
        <v>7</v>
      </c>
      <c r="AN22" s="1" t="s">
        <v>8</v>
      </c>
      <c r="AO22" s="1" t="s">
        <v>23</v>
      </c>
    </row>
    <row r="23" spans="2:77" x14ac:dyDescent="0.5">
      <c r="B23" t="s">
        <v>52</v>
      </c>
      <c r="C23" s="2">
        <f>COUNTIFS(顧客データ!$F$4:$F$1048576,"&gt;=2022/3/1",顧客データ!$F$4:$F$1048576,"&lt;=2022/3/31",顧客データ!$E$4:$E$1048576,"=竹田",顧客データ!$J$4:$J$1048576,"&gt;=2022/3/1")</f>
        <v>10</v>
      </c>
      <c r="D23" s="2">
        <f>COUNTIFS(顧客データ!$F$4:$F$1048576,"&gt;=2022/3/1",顧客データ!$F$4:$F$1048576,"&lt;=2022/3/31",顧客データ!$E$4:$E$1048576,"=竹田",顧客データ!$D$4:$D$1048576,"=*成約*")</f>
        <v>5</v>
      </c>
      <c r="E23" s="13">
        <f>D23/C23</f>
        <v>0.5</v>
      </c>
      <c r="F23" s="2">
        <f>COUNTIFS(顧客データ!$F$4:$F$1048576,"&gt;=2022/4/1",顧客データ!$F$4:$F$1048576,"&lt;=2022/4/30",顧客データ!$E$4:$E$1048576,"=竹田",顧客データ!$J$4:$J$1048576,"&gt;=2022/4/1")</f>
        <v>8</v>
      </c>
      <c r="G23" s="2">
        <f>COUNTIFS(顧客データ!$F$4:$F$1048576,"&gt;=2022/4/1",顧客データ!$F$4:$F$1048576,"&lt;=2022/4/30",顧客データ!$E$4:$E$1048576,"=竹田",顧客データ!$D$4:$D$1048576,"=*成約*")</f>
        <v>4</v>
      </c>
      <c r="H23" s="13">
        <f>G23/F23</f>
        <v>0.5</v>
      </c>
      <c r="I23" s="2">
        <f>COUNTIFS(顧客データ!$F$4:$F$1048576,"&gt;=2022/5/1",顧客データ!$F$4:$F$1048576,"&lt;=2022/5/31",顧客データ!$E$4:$E$1048576,"=竹田",顧客データ!$J$4:$J$1048576,"&gt;=2022/5/1")</f>
        <v>6</v>
      </c>
      <c r="J23" s="2">
        <f>COUNTIFS(顧客データ!$F$4:$F$1048576,"&gt;=2022/5/1",顧客データ!$F$4:$F$1048576,"&lt;=2022/5/31",顧客データ!$E$4:$E$1048576,"=竹田",顧客データ!$D$4:$D$1048576,"=*成約*")</f>
        <v>3</v>
      </c>
      <c r="K23" s="13">
        <f>J23/I23</f>
        <v>0.5</v>
      </c>
      <c r="L23" s="2">
        <f>COUNTIFS(顧客データ!$F$4:$F$1048576,"&gt;=2022/6/1",顧客データ!$F$4:$F$1048576,"&lt;=2022/6/30",顧客データ!$E$4:$E$1048576,"=竹田",顧客データ!$J$4:$J$1048576,"&gt;=2022/6/1")</f>
        <v>3</v>
      </c>
      <c r="M23" s="2">
        <f>COUNTIFS(顧客データ!$F$4:$F$1048576,"&gt;=2022/6/1",顧客データ!$F$4:$F$1048576,"&lt;=2022/6/30",顧客データ!$E$4:$E$1048576,"=竹田",顧客データ!$D$4:$D$1048576,"=*成約*")</f>
        <v>2</v>
      </c>
      <c r="N23" s="13">
        <f>M23/L23</f>
        <v>0.66666666666666663</v>
      </c>
      <c r="O23" s="2">
        <f>COUNTIFS(顧客データ!$F$4:$F$1048576,"&gt;=2022/7/1",顧客データ!$F$4:$F$1048576,"&lt;=2022/7/31",顧客データ!$E$4:$E$1048576,"=竹田",顧客データ!$J$4:$J$1048576,"&gt;=2022/7/1")</f>
        <v>7</v>
      </c>
      <c r="P23" s="2">
        <f>COUNTIFS(顧客データ!$F$4:$F$1048576,"&gt;=2022/7/1",顧客データ!$F$4:$F$1048576,"&lt;=2022/7/31",顧客データ!$E$4:$E$1048576,"=竹田",顧客データ!$D$4:$D$1048576,"=*成約*")</f>
        <v>2</v>
      </c>
      <c r="Q23" s="13">
        <f>P23/O23</f>
        <v>0.2857142857142857</v>
      </c>
      <c r="R23" s="2">
        <f>COUNTIFS(顧客データ!$F$4:$F$1048576,"&gt;=2022/8/1",顧客データ!$F$4:$F$1048576,"&lt;=2022/8/31",顧客データ!$E$4:$E$1048576,"=竹田",顧客データ!$J$4:$J$1048576,"&gt;=2022/8/1")</f>
        <v>4</v>
      </c>
      <c r="S23" s="2">
        <f>COUNTIFS(顧客データ!$F$4:$F$1048576,"&gt;=2022/8/1",顧客データ!$F$4:$F$1048576,"&lt;=2022/8/31",顧客データ!$E$4:$E$1048576,"=竹田",顧客データ!$D$4:$D$1048576,"=*成約*")</f>
        <v>1</v>
      </c>
      <c r="T23" s="13">
        <f>S23/R23</f>
        <v>0.25</v>
      </c>
      <c r="U23" s="2">
        <f>COUNTIFS(顧客データ!$F$4:$F$1048576,"&gt;=2022/9/1",顧客データ!$F$4:$F$1048576,"&lt;=2022/9/30",顧客データ!$E$4:$E$1048576,"=竹田",顧客データ!$J$4:$J$1048576,"&gt;=2022/9/1")</f>
        <v>1</v>
      </c>
      <c r="V23" s="2">
        <f>COUNTIFS(顧客データ!$F$4:$F$1048576,"&gt;=2022/9/1",顧客データ!$F$4:$F$1048576,"&lt;=2022/9/30",顧客データ!$E$4:$E$1048576,"=竹田",顧客データ!$D$4:$D$1048576,"=*成約*")</f>
        <v>1</v>
      </c>
      <c r="W23" s="13">
        <f>V23/U23</f>
        <v>1</v>
      </c>
      <c r="X23" s="2">
        <f>COUNTIFS(顧客データ!$F$4:$F$1048576,"&gt;=2022/10/1",顧客データ!$F$4:$F$1048576,"&lt;=2022/10/31",顧客データ!$E$4:$E$1048576,"=竹田",顧客データ!$J$4:$J$1048576,"&gt;=2022/10/1")</f>
        <v>3</v>
      </c>
      <c r="Y23" s="2">
        <f>COUNTIFS(顧客データ!$F$4:$F$1048576,"&gt;=2022/10/1",顧客データ!$F$4:$F$1048576,"&lt;=2022/10/31",顧客データ!$E$4:$E$1048576,"=竹田",顧客データ!$D$4:$D$1048576,"=*成約*")</f>
        <v>2</v>
      </c>
      <c r="Z23" s="13">
        <f>Y23/X23</f>
        <v>0.66666666666666663</v>
      </c>
      <c r="AA23" s="2">
        <f>COUNTIFS(顧客データ!$F$4:$F$1048576,"&gt;=2022/11/1",顧客データ!$F$4:$F$1048576,"&lt;=2022/11/30",顧客データ!$E$4:$E$1048576,"=竹田",顧客データ!$J$4:$J$1048576,"&gt;=2022/11/1")</f>
        <v>4</v>
      </c>
      <c r="AB23" s="2">
        <f>COUNTIFS(顧客データ!$F$4:$F$1048576,"&gt;=2022/11/1",顧客データ!$F$4:$F$1048576,"&lt;=2022/11/30",顧客データ!$E$4:$E$1048576,"=竹田",顧客データ!$D$4:$D$1048576,"=*成約*")</f>
        <v>1</v>
      </c>
      <c r="AC23" s="33">
        <f>AB23/AA23</f>
        <v>0.25</v>
      </c>
      <c r="AD23" s="2">
        <f>COUNTIFS(顧客データ!$F$4:$F$1048576,"&gt;=2022/12/1",顧客データ!$F$4:$F$1048576,"&lt;=2022/12/31",顧客データ!$E$4:$E$1048576,"=竹田",顧客データ!$J$4:$J$1048576,"&gt;=2022/12/1")</f>
        <v>2</v>
      </c>
      <c r="AE23" s="2">
        <f>COUNTIFS(顧客データ!$F$4:$F$1048576,"&gt;=2022/12/1",顧客データ!$F$4:$F$1048576,"&lt;=2022/12/31",顧客データ!$E$4:$E$1048576,"=竹田",顧客データ!$D$4:$D$1048576,"=*成約*")</f>
        <v>0</v>
      </c>
      <c r="AF23" s="34">
        <f>AE23/AD23</f>
        <v>0</v>
      </c>
      <c r="AG23" s="2">
        <f>COUNTIFS(顧客データ!$F$4:$F$1048576,"&gt;=2023/1/1",顧客データ!$F$4:$F$1048576,"&lt;=2023/1/31",顧客データ!$E$4:$E$1048576,"=竹田",顧客データ!$J$4:$J$1048576,"&gt;=2023/1/1")</f>
        <v>4</v>
      </c>
      <c r="AH23" s="2">
        <f>COUNTIFS(顧客データ!$F$4:$F$1048576,"&gt;=2023/1/1",顧客データ!$F$4:$F$1048576,"&lt;=2023/1/31",顧客データ!$E$4:$E$1048576,"=竹田",顧客データ!$D$4:$D$1048576,"=*成約*")</f>
        <v>1</v>
      </c>
      <c r="AI23" s="34">
        <f>AH23/AG23</f>
        <v>0.25</v>
      </c>
      <c r="AJ23" s="2">
        <f>COUNTIFS(顧客データ!$F$4:$F$1048576,"&gt;=2023/2/1",顧客データ!$F$4:$F$1048576,"&lt;=2023/2/28",顧客データ!$E$4:$E$1048576,"=竹田",顧客データ!$J$4:$J$1048576,"&gt;=2023/2/1")</f>
        <v>0</v>
      </c>
      <c r="AK23" s="2">
        <f>COUNTIFS(顧客データ!$F$4:$F$1048576,"&gt;=2023/2/1",顧客データ!$F$4:$F$1048576,"&lt;=2023/2/28",顧客データ!$E$4:$E$1048576,"=竹田",顧客データ!$D$4:$D$1048576,"=*成約*")</f>
        <v>0</v>
      </c>
      <c r="AL23" s="34" t="e">
        <f>AK23/AJ23</f>
        <v>#DIV/0!</v>
      </c>
      <c r="AM23" s="6">
        <f t="shared" ref="AM23:AN26" si="25">C23+F23+I23+L23+O23+R23+U23+X23+AA23+AD23+AG23+AJ23</f>
        <v>52</v>
      </c>
      <c r="AN23" s="6">
        <f t="shared" si="25"/>
        <v>22</v>
      </c>
      <c r="AO23" s="34">
        <f>AN23/AM23</f>
        <v>0.42307692307692307</v>
      </c>
    </row>
    <row r="24" spans="2:77" x14ac:dyDescent="0.5">
      <c r="B24" t="s">
        <v>70</v>
      </c>
      <c r="C24" s="2">
        <f>COUNTIFS(顧客データ!$F$4:$F$1048576,"&gt;=2022/3/1",顧客データ!$F$4:$F$1048576,"&lt;=2022/3/31",顧客データ!$E$4:$E$1048576,"=恩道",顧客データ!$J$4:$J$1048576,"&gt;=2022/3/1")</f>
        <v>4</v>
      </c>
      <c r="D24" s="2">
        <f>COUNTIFS(顧客データ!$F$4:$F$1048576,"&gt;=2022/3/1",顧客データ!$F$4:$F$1048576,"&lt;=2022/3/31",顧客データ!$E$4:$E$1048576,"=恩道",顧客データ!$D$4:$D$1048576,"=*成約*")</f>
        <v>2</v>
      </c>
      <c r="E24" s="13">
        <f>D24/C24</f>
        <v>0.5</v>
      </c>
      <c r="F24" s="2">
        <f>COUNTIFS(顧客データ!$F$4:$F$1048576,"&gt;=2022/4/1",顧客データ!$F$4:$F$1048576,"&lt;=2022/4/30",顧客データ!$E$4:$E$1048576,"=恩道",顧客データ!$J$4:$J$1048576,"&gt;=2022/4/1")</f>
        <v>7</v>
      </c>
      <c r="G24" s="2">
        <f>COUNTIFS(顧客データ!$F$4:$F$1048576,"&gt;=2022/4/1",顧客データ!$F$4:$F$1048576,"&lt;=2022/4/30",顧客データ!$E$4:$E$1048576,"=恩道",顧客データ!$D$4:$D$1048576,"=*成約*")</f>
        <v>4</v>
      </c>
      <c r="H24" s="13">
        <f>G24/F24</f>
        <v>0.5714285714285714</v>
      </c>
      <c r="I24" s="2">
        <f>COUNTIFS(顧客データ!$F$4:$F$1048576,"&gt;=2022/5/1",顧客データ!$F$4:$F$1048576,"&lt;=2022/5/31",顧客データ!$E$4:$E$1048576,"=恩道",顧客データ!$J$4:$J$1048576,"&gt;=2022/5/1")</f>
        <v>3</v>
      </c>
      <c r="J24" s="2">
        <f>COUNTIFS(顧客データ!$F$4:$F$1048576,"&gt;=2022/5/1",顧客データ!$F$4:$F$1048576,"&lt;=2022/5/31",顧客データ!$E$4:$E$1048576,"=恩道",顧客データ!$D$4:$D$1048576,"=*成約*")</f>
        <v>1</v>
      </c>
      <c r="K24" s="13">
        <f>J24/I24</f>
        <v>0.33333333333333331</v>
      </c>
      <c r="L24" s="2">
        <f>COUNTIFS(顧客データ!$F$4:$F$1048576,"&gt;=2022/6/1",顧客データ!$F$4:$F$1048576,"&lt;=2022/6/30",顧客データ!$E$4:$E$1048576,"=恩道",顧客データ!$J$4:$J$1048576,"&gt;=2022/6/1")</f>
        <v>2</v>
      </c>
      <c r="M24" s="2">
        <f>COUNTIFS(顧客データ!$F$4:$F$1048576,"&gt;=2022/6/1",顧客データ!$F$4:$F$1048576,"&lt;=2022/6/30",顧客データ!$E$4:$E$1048576,"=恩道",顧客データ!$D$4:$D$1048576,"=*成約*")</f>
        <v>0</v>
      </c>
      <c r="N24" s="13">
        <f>M24/L24</f>
        <v>0</v>
      </c>
      <c r="O24" s="2">
        <f>COUNTIFS(顧客データ!$F$4:$F$1048576,"&gt;=2022/7/1",顧客データ!$F$4:$F$1048576,"&lt;=2022/7/31",顧客データ!$E$4:$E$1048576,"=恩道",顧客データ!$J$4:$J$1048576,"&gt;=2022/7/1")</f>
        <v>0</v>
      </c>
      <c r="P24" s="2">
        <f>COUNTIFS(顧客データ!$F$4:$F$1048576,"&gt;=2022/7/1",顧客データ!$F$4:$F$1048576,"&lt;=2022/7/31",顧客データ!$E$4:$E$1048576,"=恩道",顧客データ!$D$4:$D$1048576,"=*成約*")</f>
        <v>0</v>
      </c>
      <c r="Q24" s="13" t="e">
        <f>P24/O24</f>
        <v>#DIV/0!</v>
      </c>
      <c r="R24" s="2">
        <f>COUNTIFS(顧客データ!$F$4:$F$1048576,"&gt;=2022/8/1",顧客データ!$F$4:$F$1048576,"&lt;=2022/8/31",顧客データ!$E$4:$E$1048576,"=恩道",顧客データ!$J$4:$J$1048576,"&gt;=2022/8/1")</f>
        <v>2</v>
      </c>
      <c r="S24" s="2">
        <f>COUNTIFS(顧客データ!$F$4:$F$1048576,"&gt;=2022/8/1",顧客データ!$F$4:$F$1048576,"&lt;=2022/8/31",顧客データ!$E$4:$E$1048576,"=恩道",顧客データ!$D$4:$D$1048576,"=*成約*")</f>
        <v>1</v>
      </c>
      <c r="T24" s="13">
        <f>S24/R24</f>
        <v>0.5</v>
      </c>
      <c r="U24" s="2">
        <f>COUNTIFS(顧客データ!$F$4:$F$1048576,"&gt;=2022/9/1",顧客データ!$F$4:$F$1048576,"&lt;=2022/9/30",顧客データ!$E$4:$E$1048576,"=恩道",顧客データ!$J$4:$J$1048576,"&gt;=2022/9/1")</f>
        <v>4</v>
      </c>
      <c r="V24" s="2">
        <f>COUNTIFS(顧客データ!$F$4:$F$1048576,"&gt;=2022/9/1",顧客データ!$F$4:$F$1048576,"&lt;=2022/9/30",顧客データ!$E$4:$E$1048576,"=恩道",顧客データ!$D$4:$D$1048576,"=*成約*")</f>
        <v>2</v>
      </c>
      <c r="W24" s="13">
        <f>V24/U24</f>
        <v>0.5</v>
      </c>
      <c r="X24" s="2">
        <f>COUNTIFS(顧客データ!$F$4:$F$1048576,"&gt;=2022/10/1",顧客データ!$F$4:$F$1048576,"&lt;=2022/10/31",顧客データ!$E$4:$E$1048576,"=恩道",顧客データ!$J$4:$J$1048576,"&gt;=2022/10/1")</f>
        <v>2</v>
      </c>
      <c r="Y24" s="2">
        <f>COUNTIFS(顧客データ!$F$4:$F$1048576,"&gt;=2022/10/1",顧客データ!$F$4:$F$1048576,"&lt;=2022/10/31",顧客データ!$E$4:$E$1048576,"=恩道",顧客データ!$D$4:$D$1048576,"=*成約*")</f>
        <v>0</v>
      </c>
      <c r="Z24" s="13">
        <f>Y24/X24</f>
        <v>0</v>
      </c>
      <c r="AA24" s="2">
        <f>COUNTIFS(顧客データ!$F$4:$F$1048576,"&gt;=2022/11/1",顧客データ!$F$4:$F$1048576,"&lt;=2022/11/30",顧客データ!$E$4:$E$1048576,"=恩道",顧客データ!$J$4:$J$1048576,"&gt;=2022/11/1")</f>
        <v>7</v>
      </c>
      <c r="AB24" s="2">
        <f>COUNTIFS(顧客データ!$F$4:$F$1048576,"&gt;=2022/11/1",顧客データ!$F$4:$F$1048576,"&lt;=2022/11/30",顧客データ!$E$4:$E$1048576,"=恩道",顧客データ!$D$4:$D$1048576,"=*成約*")</f>
        <v>3</v>
      </c>
      <c r="AC24" s="33">
        <f>AB24/AA24</f>
        <v>0.42857142857142855</v>
      </c>
      <c r="AD24" s="2">
        <f>COUNTIFS(顧客データ!$F$4:$F$1048576,"&gt;=2022/12/1",顧客データ!$F$4:$F$1048576,"&lt;=2022/12/31",顧客データ!$E$4:$E$1048576,"=恩道",顧客データ!$J$4:$J$1048576,"&gt;=2022/12/1")</f>
        <v>2</v>
      </c>
      <c r="AE24" s="2">
        <f>COUNTIFS(顧客データ!$F$4:$F$1048576,"&gt;=2022/12/1",顧客データ!$F$4:$F$1048576,"&lt;=2022/12/31",顧客データ!$E$4:$E$1048576,"=恩道",顧客データ!$D$4:$D$1048576,"=*成約*")</f>
        <v>0</v>
      </c>
      <c r="AF24" s="34">
        <f>AE24/AD24</f>
        <v>0</v>
      </c>
      <c r="AG24" s="2">
        <f>COUNTIFS(顧客データ!$F$4:$F$1048576,"&gt;=2023/1/1",顧客データ!$F$4:$F$1048576,"&lt;=2023/1/31",顧客データ!$E$4:$E$1048576,"=恩道",顧客データ!$J$4:$J$1048576,"&gt;=2023/1/1")</f>
        <v>3</v>
      </c>
      <c r="AH24" s="2">
        <f>COUNTIFS(顧客データ!$F$4:$F$1048576,"&gt;=2023/1/1",顧客データ!$F$4:$F$1048576,"&lt;=2023/1/31",顧客データ!$E$4:$E$1048576,"=恩道",顧客データ!$D$4:$D$1048576,"=*成約*")</f>
        <v>0</v>
      </c>
      <c r="AI24" s="34">
        <f>AH24/AG24</f>
        <v>0</v>
      </c>
      <c r="AJ24" s="2">
        <f>COUNTIFS(顧客データ!$F$4:$F$1048576,"&gt;=2023/2/1",顧客データ!$F$4:$F$1048576,"&lt;=2023/2/28",顧客データ!$E$4:$E$1048576,"=恩道",顧客データ!$J$4:$J$1048576,"&gt;=2023/2/1")</f>
        <v>0</v>
      </c>
      <c r="AK24" s="2">
        <f>COUNTIFS(顧客データ!$F$4:$F$1048576,"&gt;=2023/2/1",顧客データ!$F$4:$F$1048576,"&lt;=2023/2/28",顧客データ!$E$4:$E$1048576,"=恩道",顧客データ!$D$4:$D$1048576,"=*成約*")</f>
        <v>0</v>
      </c>
      <c r="AL24" s="34" t="e">
        <f>AK24/AJ24</f>
        <v>#DIV/0!</v>
      </c>
      <c r="AM24" s="6">
        <f t="shared" si="25"/>
        <v>36</v>
      </c>
      <c r="AN24" s="6">
        <f t="shared" si="25"/>
        <v>13</v>
      </c>
      <c r="AO24" s="34">
        <f>AN24/AM24</f>
        <v>0.3611111111111111</v>
      </c>
    </row>
    <row r="25" spans="2:77" x14ac:dyDescent="0.5">
      <c r="B25" t="s">
        <v>71</v>
      </c>
      <c r="C25" s="2">
        <f>COUNTIFS(顧客データ!$F$4:$F$1048576,"&gt;=2022/3/1",顧客データ!$F$4:$F$1048576,"&lt;=2022/3/31",顧客データ!$E$4:$E$1048576,"=森本",顧客データ!$J$4:$J$1048576,"&gt;=2022/3/1")</f>
        <v>2</v>
      </c>
      <c r="D25" s="2">
        <f>COUNTIFS(顧客データ!$F$4:$F$1048576,"&gt;=2022/3/1",顧客データ!$F$4:$F$1048576,"&lt;=2022/3/31",顧客データ!$E$4:$E$1048576,"=森本",顧客データ!$D$4:$D$1048576,"=*成約*")</f>
        <v>1</v>
      </c>
      <c r="E25" s="13">
        <f>D25/C25</f>
        <v>0.5</v>
      </c>
      <c r="F25" s="2">
        <f>COUNTIFS(顧客データ!$F$4:$F$1048576,"&gt;=2022/4/1",顧客データ!$F$4:$F$1048576,"&lt;=2022/4/30",顧客データ!$E$4:$E$1048576,"=森本",顧客データ!$J$4:$J$1048576,"&gt;=2022/4/1")</f>
        <v>1</v>
      </c>
      <c r="G25" s="2">
        <f>COUNTIFS(顧客データ!$F$4:$F$1048576,"&gt;=2022/4/1",顧客データ!$F$4:$F$1048576,"&lt;=2022/4/30",顧客データ!$E$4:$E$1048576,"=森本",顧客データ!$D$4:$D$1048576,"=*成約*")</f>
        <v>0</v>
      </c>
      <c r="H25" s="13">
        <f>G25/F25</f>
        <v>0</v>
      </c>
      <c r="I25" s="2">
        <f>COUNTIFS(顧客データ!$F$4:$F$1048576,"&gt;=2022/5/1",顧客データ!$F$4:$F$1048576,"&lt;=2022/5/31",顧客データ!$E$4:$E$1048576,"=森本",顧客データ!$J$4:$J$1048576,"&gt;=2022/5/1")</f>
        <v>6</v>
      </c>
      <c r="J25" s="2">
        <f>COUNTIFS(顧客データ!$F$4:$F$1048576,"&gt;=2022/5/1",顧客データ!$F$4:$F$1048576,"&lt;=2022/5/31",顧客データ!$E$4:$E$1048576,"=森本",顧客データ!$D$4:$D$1048576,"=*成約*")</f>
        <v>4</v>
      </c>
      <c r="K25" s="13">
        <f>J25/I25</f>
        <v>0.66666666666666663</v>
      </c>
      <c r="L25" s="2">
        <f>COUNTIFS(顧客データ!$F$4:$F$1048576,"&gt;=2022/6/1",顧客データ!$F$4:$F$1048576,"&lt;=2022/6/30",顧客データ!$E$4:$E$1048576,"=森本",顧客データ!$J$4:$J$1048576,"&gt;=2022/6/1")</f>
        <v>2</v>
      </c>
      <c r="M25" s="2">
        <f>COUNTIFS(顧客データ!$F$4:$F$1048576,"&gt;=2022/6/1",顧客データ!$F$4:$F$1048576,"&lt;=2022/6/30",顧客データ!$E$4:$E$1048576,"=森本",顧客データ!$D$4:$D$1048576,"=*成約*")</f>
        <v>2</v>
      </c>
      <c r="N25" s="13">
        <f>M25/L25</f>
        <v>1</v>
      </c>
      <c r="O25" s="2">
        <f>COUNTIFS(顧客データ!$F$4:$F$1048576,"&gt;=2022/7/1",顧客データ!$F$4:$F$1048576,"&lt;=2022/7/31",顧客データ!$E$4:$E$1048576,"=森本",顧客データ!$J$4:$J$1048576,"&gt;=2022/7/1")</f>
        <v>3</v>
      </c>
      <c r="P25" s="2">
        <f>COUNTIFS(顧客データ!$F$4:$F$1048576,"&gt;=2022/7/1",顧客データ!$F$4:$F$1048576,"&lt;=2022/7/31",顧客データ!$E$4:$E$1048576,"=森本",顧客データ!$D$4:$D$1048576,"=*成約*")</f>
        <v>1</v>
      </c>
      <c r="Q25" s="13">
        <f>P25/O25</f>
        <v>0.33333333333333331</v>
      </c>
      <c r="R25" s="2">
        <f>COUNTIFS(顧客データ!$F$4:$F$1048576,"&gt;=2022/8/1",顧客データ!$F$4:$F$1048576,"&lt;=2022/8/31",顧客データ!$E$4:$E$1048576,"=森本",顧客データ!$J$4:$J$1048576,"&gt;=2022/8/1")</f>
        <v>2</v>
      </c>
      <c r="S25" s="2">
        <f>COUNTIFS(顧客データ!$F$4:$F$1048576,"&gt;=2022/8/1",顧客データ!$F$4:$F$1048576,"&lt;=2022/8/31",顧客データ!$E$4:$E$1048576,"=森本",顧客データ!$D$4:$D$1048576,"=*成約*")</f>
        <v>1</v>
      </c>
      <c r="T25" s="13">
        <f>S25/R25</f>
        <v>0.5</v>
      </c>
      <c r="U25" s="2">
        <f>COUNTIFS(顧客データ!$F$4:$F$1048576,"&gt;=2022/9/1",顧客データ!$F$4:$F$1048576,"&lt;=2022/9/30",顧客データ!$E$4:$E$1048576,"=森本",顧客データ!$J$4:$J$1048576,"&gt;=2022/9/1")</f>
        <v>6</v>
      </c>
      <c r="V25" s="2">
        <f>COUNTIFS(顧客データ!$F$4:$F$1048576,"&gt;=2022/9/1",顧客データ!$F$4:$F$1048576,"&lt;=2022/9/30",顧客データ!$E$4:$E$1048576,"=森本",顧客データ!$D$4:$D$1048576,"=*成約*")</f>
        <v>1</v>
      </c>
      <c r="W25" s="13">
        <f>V25/U25</f>
        <v>0.16666666666666666</v>
      </c>
      <c r="X25" s="2">
        <f>COUNTIFS(顧客データ!$F$4:$F$1048576,"&gt;=2022/10/1",顧客データ!$F$4:$F$1048576,"&lt;=2022/10/31",顧客データ!$E$4:$E$1048576,"=森本",顧客データ!$J$4:$J$1048576,"&gt;=2022/10/1")</f>
        <v>6</v>
      </c>
      <c r="Y25" s="2">
        <f>COUNTIFS(顧客データ!$F$4:$F$1048576,"&gt;=2022/10/1",顧客データ!$F$4:$F$1048576,"&lt;=2022/10/31",顧客データ!$E$4:$E$1048576,"=森本",顧客データ!$D$4:$D$1048576,"=*成約*")</f>
        <v>1</v>
      </c>
      <c r="Z25" s="13">
        <f>Y25/X25</f>
        <v>0.16666666666666666</v>
      </c>
      <c r="AA25" s="2">
        <f>COUNTIFS(顧客データ!$F$4:$F$1048576,"&gt;=2022/11/1",顧客データ!$F$4:$F$1048576,"&lt;=2022/11/30",顧客データ!$E$4:$E$1048576,"=森本",顧客データ!$J$4:$J$1048576,"&gt;=2022/11/1")</f>
        <v>3</v>
      </c>
      <c r="AB25" s="2">
        <f>COUNTIFS(顧客データ!$F$4:$F$1048576,"&gt;=2022/11/1",顧客データ!$F$4:$F$1048576,"&lt;=2022/11/30",顧客データ!$E$4:$E$1048576,"=森本",顧客データ!$D$4:$D$1048576,"=*成約*")</f>
        <v>2</v>
      </c>
      <c r="AC25" s="33">
        <f>AB25/AA25</f>
        <v>0.66666666666666663</v>
      </c>
      <c r="AD25" s="2">
        <f>COUNTIFS(顧客データ!$F$4:$F$1048576,"&gt;=2022/12/1",顧客データ!$F$4:$F$1048576,"&lt;=2022/12/31",顧客データ!$E$4:$E$1048576,"=森本",顧客データ!$J$4:$J$1048576,"&gt;=2022/12/1")</f>
        <v>2</v>
      </c>
      <c r="AE25" s="2">
        <f>COUNTIFS(顧客データ!$F$4:$F$1048576,"&gt;=2022/12/1",顧客データ!$F$4:$F$1048576,"&lt;=2022/12/31",顧客データ!$E$4:$E$1048576,"=森本",顧客データ!$D$4:$D$1048576,"=*成約*")</f>
        <v>1</v>
      </c>
      <c r="AF25" s="34">
        <f>AE25/AD25</f>
        <v>0.5</v>
      </c>
      <c r="AG25" s="2">
        <f>COUNTIFS(顧客データ!$F$4:$F$1048576,"&gt;=2023/1/1",顧客データ!$F$4:$F$1048576,"&lt;=2023/1/31",顧客データ!$E$4:$E$1048576,"=森本",顧客データ!$J$4:$J$1048576,"&gt;=2023/1/1")</f>
        <v>5</v>
      </c>
      <c r="AH25" s="2">
        <f>COUNTIFS(顧客データ!$F$4:$F$1048576,"&gt;=2023/1/1",顧客データ!$F$4:$F$1048576,"&lt;=2023/1/31",顧客データ!$E$4:$E$1048576,"=森本",顧客データ!$D$4:$D$1048576,"=*成約*")</f>
        <v>1</v>
      </c>
      <c r="AI25" s="34">
        <f>AH25/AG25</f>
        <v>0.2</v>
      </c>
      <c r="AJ25" s="2">
        <f>COUNTIFS(顧客データ!$F$4:$F$1048576,"&gt;=2023/2/1",顧客データ!$F$4:$F$1048576,"&lt;=2023/2/28",顧客データ!$E$4:$E$1048576,"=森本",顧客データ!$J$4:$J$1048576,"&gt;=2023/2/1")</f>
        <v>0</v>
      </c>
      <c r="AK25" s="2">
        <f>COUNTIFS(顧客データ!$F$4:$F$1048576,"&gt;=2023/2/1",顧客データ!$F$4:$F$1048576,"&lt;=2023/2/28",顧客データ!$E$4:$E$1048576,"=森本",顧客データ!$D$4:$D$1048576,"=*成約*")</f>
        <v>0</v>
      </c>
      <c r="AL25" s="34" t="e">
        <f>AK25/AJ25</f>
        <v>#DIV/0!</v>
      </c>
      <c r="AM25" s="6">
        <f>C25+F25+I25+L25+O25+R25+U25+X25+AA25+AD25+AG25+AJ25</f>
        <v>38</v>
      </c>
      <c r="AN25" s="6">
        <f t="shared" si="25"/>
        <v>15</v>
      </c>
      <c r="AO25" s="34">
        <f>AN25/AM25</f>
        <v>0.39473684210526316</v>
      </c>
    </row>
    <row r="26" spans="2:77" x14ac:dyDescent="0.5">
      <c r="B26" t="s">
        <v>123</v>
      </c>
      <c r="C26" s="2">
        <f>COUNTIFS(顧客データ!$F$4:$F$1048576,"&gt;=2022/3/1",顧客データ!$F$4:$F$1048576,"&lt;=2022/3/31",顧客データ!$E$4:$E$1048576,"=森",顧客データ!$J$4:$J$1048576,"&gt;=2022/3/1")</f>
        <v>0</v>
      </c>
      <c r="D26" s="2">
        <f>COUNTIFS(顧客データ!$F$4:$F$1048576,"&gt;=2022/3/1",顧客データ!$F$4:$F$1048576,"&lt;=2022/3/31",顧客データ!$E$4:$E$1048576,"=森",顧客データ!$D$4:$D$1048576,"=*成約*")</f>
        <v>0</v>
      </c>
      <c r="E26" s="13" t="e">
        <f>D26/C26</f>
        <v>#DIV/0!</v>
      </c>
      <c r="F26" s="2">
        <f>COUNTIFS(顧客データ!$F$4:$F$1048576,"&gt;=2022/4/1",顧客データ!$F$4:$F$1048576,"&lt;=2022/4/30",顧客データ!$E$4:$E$1048576,"=森",顧客データ!$J$4:$J$1048576,"&gt;=2022/4/1")</f>
        <v>0</v>
      </c>
      <c r="G26" s="2">
        <f>COUNTIFS(顧客データ!$F$4:$F$1048576,"&gt;=2022/4/1",顧客データ!$F$4:$F$1048576,"&lt;=2022/4/30",顧客データ!$E$4:$E$1048576,"=森",顧客データ!$D$4:$D$1048576,"=*成約*")</f>
        <v>0</v>
      </c>
      <c r="H26" s="13" t="e">
        <f>G26/F26</f>
        <v>#DIV/0!</v>
      </c>
      <c r="I26" s="2">
        <f>COUNTIFS(顧客データ!$F$4:$F$1048576,"&gt;=2022/5/1",顧客データ!$F$4:$F$1048576,"&lt;=2022/5/31",顧客データ!$E$4:$E$1048576,"=森",顧客データ!$J$4:$J$1048576,"&gt;=2022/5/1")</f>
        <v>0</v>
      </c>
      <c r="J26" s="2">
        <f>COUNTIFS(顧客データ!$F$4:$F$1048576,"&gt;=2022/5/1",顧客データ!$F$4:$F$1048576,"&lt;=2022/5/31",顧客データ!$E$4:$E$1048576,"=森",顧客データ!$D$4:$D$1048576,"=*成約*")</f>
        <v>0</v>
      </c>
      <c r="K26" s="13" t="e">
        <f>J26/I26</f>
        <v>#DIV/0!</v>
      </c>
      <c r="L26" s="2">
        <f>COUNTIFS(顧客データ!$F$4:$F$1048576,"&gt;=2022/6/1",顧客データ!$F$4:$F$1048576,"&lt;=2022/6/30",顧客データ!$E$4:$E$1048576,"=森",顧客データ!$J$4:$J$1048576,"&gt;=2022/6/1")</f>
        <v>0</v>
      </c>
      <c r="M26" s="2">
        <f>COUNTIFS(顧客データ!$F$4:$F$1048576,"&gt;=2022/6/1",顧客データ!$F$4:$F$1048576,"&lt;=2022/6/30",顧客データ!$E$4:$E$1048576,"=森",顧客データ!$D$4:$D$1048576,"=*成約*")</f>
        <v>0</v>
      </c>
      <c r="N26" s="13" t="e">
        <f>M26/L26</f>
        <v>#DIV/0!</v>
      </c>
      <c r="O26" s="2">
        <f>COUNTIFS(顧客データ!$F$4:$F$1048576,"&gt;=2022/7/1",顧客データ!$F$4:$F$1048576,"&lt;=2022/7/31",顧客データ!$E$4:$E$1048576,"=森",顧客データ!$J$4:$J$1048576,"&gt;=2022/7/1")</f>
        <v>0</v>
      </c>
      <c r="P26" s="2">
        <f>COUNTIFS(顧客データ!$F$4:$F$1048576,"&gt;=2022/7/1",顧客データ!$F$4:$F$1048576,"&lt;=2022/7/31",顧客データ!$E$4:$E$1048576,"=森",顧客データ!$D$4:$D$1048576,"=*成約*")</f>
        <v>0</v>
      </c>
      <c r="Q26" s="13" t="e">
        <f>P26/O26</f>
        <v>#DIV/0!</v>
      </c>
      <c r="R26" s="2">
        <f>COUNTIFS(顧客データ!$F$4:$F$1048576,"&gt;=2022/8/1",顧客データ!$F$4:$F$1048576,"&lt;=2022/8/31",顧客データ!$E$4:$E$1048576,"=森",顧客データ!$J$4:$J$1048576,"&gt;=2022/8/1")</f>
        <v>0</v>
      </c>
      <c r="S26" s="2">
        <f>COUNTIFS(顧客データ!$F$4:$F$1048576,"&gt;=2022/8/1",顧客データ!$F$4:$F$1048576,"&lt;=2022/8/31",顧客データ!$E$4:$E$1048576,"=森",顧客データ!$D$4:$D$1048576,"=*成約*")</f>
        <v>0</v>
      </c>
      <c r="T26" s="13" t="e">
        <f>S26/R26</f>
        <v>#DIV/0!</v>
      </c>
      <c r="U26" s="2">
        <f>COUNTIFS(顧客データ!$F$4:$F$1048576,"&gt;=2022/9/1",顧客データ!$F$4:$F$1048576,"&lt;=2022/9/30",顧客データ!$E$4:$E$1048576,"=森",顧客データ!$J$4:$J$1048576,"&gt;=2022/9/1")</f>
        <v>0</v>
      </c>
      <c r="V26" s="2">
        <f>COUNTIFS(顧客データ!$F$4:$F$1048576,"&gt;=2022/9/1",顧客データ!$F$4:$F$1048576,"&lt;=2022/9/30",顧客データ!$E$4:$E$1048576,"=森",顧客データ!$D$4:$D$1048576,"=*成約*")</f>
        <v>0</v>
      </c>
      <c r="W26" s="13" t="e">
        <f>V26/U26</f>
        <v>#DIV/0!</v>
      </c>
      <c r="X26" s="2">
        <f>COUNTIFS(顧客データ!$F$4:$F$1048576,"&gt;=2022/10/1",顧客データ!$F$4:$F$1048576,"&lt;=2022/10/31",顧客データ!$E$4:$E$1048576,"=森",顧客データ!$J$4:$J$1048576,"&gt;=2022/10/1")</f>
        <v>0</v>
      </c>
      <c r="Y26" s="2">
        <f>COUNTIFS(顧客データ!$F$4:$F$1048576,"&gt;=2022/10/1",顧客データ!$F$4:$F$1048576,"&lt;=2022/10/31",顧客データ!$E$4:$E$1048576,"=森",顧客データ!$D$4:$D$1048576,"=*成約*")</f>
        <v>0</v>
      </c>
      <c r="Z26" s="13" t="e">
        <f>Y26/X26</f>
        <v>#DIV/0!</v>
      </c>
      <c r="AA26" s="2">
        <f>COUNTIFS(顧客データ!$F$4:$F$1048576,"&gt;=2022/11/1",顧客データ!$F$4:$F$1048576,"&lt;=2022/11/30",顧客データ!$E$4:$E$1048576,"=森",顧客データ!$J$4:$J$1048576,"&gt;=2022/11/1")</f>
        <v>0</v>
      </c>
      <c r="AB26" s="2">
        <f>COUNTIFS(顧客データ!$F$4:$F$1048576,"&gt;=2022/11/1",顧客データ!$F$4:$F$1048576,"&lt;=2022/11/30",顧客データ!$E$4:$E$1048576,"=森",顧客データ!$D$4:$D$1048576,"=*成約*")</f>
        <v>0</v>
      </c>
      <c r="AC26" s="33" t="e">
        <f>AB26/AA26</f>
        <v>#DIV/0!</v>
      </c>
      <c r="AD26" s="2">
        <f>COUNTIFS(顧客データ!$F$4:$F$1048576,"&gt;=2022/12/1",顧客データ!$F$4:$F$1048576,"&lt;=2022/12/31",顧客データ!$E$4:$E$1048576,"=森",顧客データ!$J$4:$J$1048576,"&gt;=2022/12/1")</f>
        <v>0</v>
      </c>
      <c r="AE26" s="2">
        <f>COUNTIFS(顧客データ!$F$4:$F$1048576,"&gt;=2022/12/1",顧客データ!$F$4:$F$1048576,"&lt;=2022/12/31",顧客データ!$E$4:$E$1048576,"=森",顧客データ!$D$4:$D$1048576,"=*成約*")</f>
        <v>0</v>
      </c>
      <c r="AF26" s="34" t="e">
        <f>AE26/AD26</f>
        <v>#DIV/0!</v>
      </c>
      <c r="AG26" s="2">
        <f>COUNTIFS(顧客データ!$F$4:$F$1048576,"&gt;=2023/1/1",顧客データ!$F$4:$F$1048576,"&lt;=2023/1/31",顧客データ!$E$4:$E$1048576,"=森",顧客データ!$J$4:$J$1048576,"&gt;=2023/1/1")</f>
        <v>0</v>
      </c>
      <c r="AH26" s="2">
        <f>COUNTIFS(顧客データ!$F$4:$F$1048576,"&gt;=2023/1/1",顧客データ!$F$4:$F$1048576,"&lt;=2023/1/31",顧客データ!$E$4:$E$1048576,"=森",顧客データ!$D$4:$D$1048576,"=*成約*")</f>
        <v>0</v>
      </c>
      <c r="AI26" s="34" t="e">
        <f>AH26/AG26</f>
        <v>#DIV/0!</v>
      </c>
      <c r="AJ26" s="2">
        <f>COUNTIFS(顧客データ!$F$4:$F$1048576,"&gt;=2023/2/1",顧客データ!$F$4:$F$1048576,"&lt;=2023/2/28",顧客データ!$E$4:$E$1048576,"=森",顧客データ!$J$4:$J$1048576,"&gt;=2023/2/1")</f>
        <v>0</v>
      </c>
      <c r="AK26" s="2">
        <f>COUNTIFS(顧客データ!$F$4:$F$1048576,"&gt;=2023/2/1",顧客データ!$F$4:$F$1048576,"&lt;=2023/2/28",顧客データ!$E$4:$E$1048576,"=森",顧客データ!$D$4:$D$1048576,"=*成約*")</f>
        <v>0</v>
      </c>
      <c r="AL26" s="34" t="e">
        <f>AK26/AJ26</f>
        <v>#DIV/0!</v>
      </c>
      <c r="AM26" s="6">
        <f t="shared" si="25"/>
        <v>0</v>
      </c>
      <c r="AN26" s="6">
        <f t="shared" si="25"/>
        <v>0</v>
      </c>
      <c r="AO26" s="34" t="e">
        <f>AN26/AM26</f>
        <v>#DIV/0!</v>
      </c>
    </row>
    <row r="29" spans="2:77" x14ac:dyDescent="0.5">
      <c r="B29" s="4" t="s">
        <v>115</v>
      </c>
    </row>
    <row r="30" spans="2:77" x14ac:dyDescent="0.5">
      <c r="B30" s="4"/>
      <c r="C30" s="77" t="s">
        <v>9</v>
      </c>
      <c r="D30" s="77"/>
      <c r="E30" s="77"/>
      <c r="F30" s="77" t="s">
        <v>10</v>
      </c>
      <c r="G30" s="77"/>
      <c r="H30" s="77"/>
      <c r="I30" s="77" t="s">
        <v>11</v>
      </c>
      <c r="J30" s="77"/>
      <c r="K30" s="77"/>
      <c r="L30" s="77" t="s">
        <v>13</v>
      </c>
      <c r="M30" s="77"/>
      <c r="N30" s="77"/>
      <c r="O30" s="77" t="s">
        <v>14</v>
      </c>
      <c r="P30" s="77"/>
      <c r="Q30" s="77"/>
      <c r="R30" s="77" t="s">
        <v>15</v>
      </c>
      <c r="S30" s="77"/>
      <c r="T30" s="77"/>
      <c r="U30" s="77" t="s">
        <v>16</v>
      </c>
      <c r="V30" s="77"/>
      <c r="W30" s="77"/>
      <c r="X30" s="77" t="s">
        <v>17</v>
      </c>
      <c r="Y30" s="77"/>
      <c r="Z30" s="77"/>
      <c r="AA30" s="77" t="s">
        <v>18</v>
      </c>
      <c r="AB30" s="77"/>
      <c r="AC30" s="77"/>
      <c r="AD30" s="77" t="s">
        <v>19</v>
      </c>
      <c r="AE30" s="77"/>
      <c r="AF30" s="77"/>
      <c r="AG30" s="77" t="s">
        <v>20</v>
      </c>
      <c r="AH30" s="77"/>
      <c r="AI30" s="77"/>
      <c r="AJ30" s="77" t="s">
        <v>21</v>
      </c>
      <c r="AK30" s="77"/>
      <c r="AL30" s="77"/>
      <c r="AM30" s="77" t="s">
        <v>22</v>
      </c>
      <c r="AN30" s="77"/>
      <c r="AO30" s="77"/>
    </row>
    <row r="31" spans="2:77" x14ac:dyDescent="0.5">
      <c r="C31" s="1" t="s">
        <v>7</v>
      </c>
      <c r="D31" s="1" t="s">
        <v>8</v>
      </c>
      <c r="E31" s="1" t="s">
        <v>23</v>
      </c>
      <c r="F31" s="1" t="s">
        <v>7</v>
      </c>
      <c r="G31" s="1" t="s">
        <v>8</v>
      </c>
      <c r="H31" s="1" t="s">
        <v>23</v>
      </c>
      <c r="I31" s="1" t="s">
        <v>7</v>
      </c>
      <c r="J31" s="1" t="s">
        <v>8</v>
      </c>
      <c r="K31" s="1" t="s">
        <v>23</v>
      </c>
      <c r="L31" s="1" t="s">
        <v>7</v>
      </c>
      <c r="M31" s="1" t="s">
        <v>8</v>
      </c>
      <c r="N31" s="1" t="s">
        <v>23</v>
      </c>
      <c r="O31" s="1" t="s">
        <v>7</v>
      </c>
      <c r="P31" s="1" t="s">
        <v>8</v>
      </c>
      <c r="Q31" s="1" t="s">
        <v>23</v>
      </c>
      <c r="R31" s="1" t="s">
        <v>7</v>
      </c>
      <c r="S31" s="1" t="s">
        <v>8</v>
      </c>
      <c r="T31" s="1" t="s">
        <v>23</v>
      </c>
      <c r="U31" s="1" t="s">
        <v>7</v>
      </c>
      <c r="V31" s="1" t="s">
        <v>8</v>
      </c>
      <c r="W31" s="1" t="s">
        <v>23</v>
      </c>
      <c r="X31" s="1" t="s">
        <v>7</v>
      </c>
      <c r="Y31" s="1" t="s">
        <v>8</v>
      </c>
      <c r="Z31" s="1" t="s">
        <v>23</v>
      </c>
      <c r="AA31" s="1" t="s">
        <v>7</v>
      </c>
      <c r="AB31" s="1" t="s">
        <v>8</v>
      </c>
      <c r="AC31" s="1" t="s">
        <v>23</v>
      </c>
      <c r="AD31" s="1" t="s">
        <v>7</v>
      </c>
      <c r="AE31" s="1" t="s">
        <v>8</v>
      </c>
      <c r="AF31" s="1" t="s">
        <v>23</v>
      </c>
      <c r="AG31" s="1" t="s">
        <v>7</v>
      </c>
      <c r="AH31" s="1" t="s">
        <v>8</v>
      </c>
      <c r="AI31" s="1" t="s">
        <v>23</v>
      </c>
      <c r="AJ31" s="1" t="s">
        <v>7</v>
      </c>
      <c r="AK31" s="1" t="s">
        <v>8</v>
      </c>
      <c r="AL31" s="1" t="s">
        <v>23</v>
      </c>
      <c r="AM31" s="1" t="s">
        <v>7</v>
      </c>
      <c r="AN31" s="1" t="s">
        <v>8</v>
      </c>
      <c r="AO31" s="1" t="s">
        <v>23</v>
      </c>
    </row>
    <row r="32" spans="2:77" x14ac:dyDescent="0.5">
      <c r="B32" t="s">
        <v>80</v>
      </c>
      <c r="C32" s="2">
        <f>COUNTIFS(顧客データ!$F$4:$F$1048576,"&gt;=2022/3/1",顧客データ!$F$4:$F$1048576,"&lt;=2022/3/31",顧客データ!$Q$4:$Q$1048576,"=~10",顧客データ!$J$4:$J$1048576,"&gt;=2022/3/1")</f>
        <v>1</v>
      </c>
      <c r="D32" s="2">
        <f>COUNTIFS(顧客データ!$F$4:$F$1048576,"&gt;=2022/3/1",顧客データ!$F$4:$F$1048576,"&lt;=2022/3/31",顧客データ!$Q$4:$Q$1048576,"=~10",顧客データ!$D$4:$D$1048576,"=*成約*")</f>
        <v>1</v>
      </c>
      <c r="E32" s="13">
        <f>D32/C32</f>
        <v>1</v>
      </c>
      <c r="F32" s="2">
        <f>COUNTIFS(顧客データ!$F$4:$F$1048576,"&gt;=2022/4/1",顧客データ!$F$4:$F$1048576,"&lt;=2022/4/30",顧客データ!$Q$4:$Q$1048576,"=~10",顧客データ!$J$4:$J$1048576,"&gt;=2022/4/1")</f>
        <v>3</v>
      </c>
      <c r="G32" s="2">
        <f>COUNTIFS(顧客データ!$F$4:$F$1048576,"&gt;=2022/4/1",顧客データ!$F$4:$F$1048576,"&lt;=2022/4/30",顧客データ!$Q$4:$Q$1048576,"=~10",顧客データ!$D$4:$D$1048576,"=*成約*")</f>
        <v>1</v>
      </c>
      <c r="H32" s="13">
        <f>G32/F32</f>
        <v>0.33333333333333331</v>
      </c>
      <c r="I32" s="2">
        <f>COUNTIFS(顧客データ!$F$4:$F$1048576,"&gt;=2022/5/1",顧客データ!$F$4:$F$1048576,"&lt;=2022/5/31",顧客データ!$Q$4:$Q$1048576,"=~10",顧客データ!$J$4:$J$1048576,"&gt;=2022/5/1")</f>
        <v>3</v>
      </c>
      <c r="J32" s="2">
        <f>COUNTIFS(顧客データ!$F$4:$F$1048576,"&gt;=2022/5/1",顧客データ!$F$4:$F$1048576,"&lt;=2022/5/31",顧客データ!$Q$4:$Q$1048576,"=~10",顧客データ!$D$4:$D$1048576,"=*成約*")</f>
        <v>3</v>
      </c>
      <c r="K32" s="13">
        <f>J32/I32</f>
        <v>1</v>
      </c>
      <c r="L32" s="2">
        <f>COUNTIFS(顧客データ!$F$4:$F$1048576,"&gt;=2022/6/1",顧客データ!$F$4:$F$1048576,"&lt;=2022/6/30",顧客データ!$Q$4:$Q$1048576,"=~10",顧客データ!$J$4:$J$1048576,"&gt;=2022/6/1")</f>
        <v>0</v>
      </c>
      <c r="M32" s="2">
        <f>COUNTIFS(顧客データ!$F$4:$F$1048576,"&gt;=2022/6/1",顧客データ!$F$4:$F$1048576,"&lt;=2022/6/30",顧客データ!$Q$4:$Q$1048576,"=~10",顧客データ!$D$4:$D$1048576,"=*成約*")</f>
        <v>0</v>
      </c>
      <c r="N32" s="13" t="e">
        <f>M32/L32</f>
        <v>#DIV/0!</v>
      </c>
      <c r="O32" s="2">
        <f>COUNTIFS(顧客データ!$F$4:$F$1048576,"&gt;=2022/7/1",顧客データ!$F$4:$F$1048576,"&lt;=2022/7/31",顧客データ!$Q$4:$Q$1048576,"=~10",顧客データ!$J$4:$J$1048576,"&gt;=2022/7/1")</f>
        <v>1</v>
      </c>
      <c r="P32" s="2">
        <f>COUNTIFS(顧客データ!$F$4:$F$1048576,"&gt;=2022/7/1",顧客データ!$F$4:$F$1048576,"&lt;=2022/7/31",顧客データ!$Q$4:$Q$1048576,"=~10",顧客データ!$D$4:$D$1048576,"=*成約*")</f>
        <v>0</v>
      </c>
      <c r="Q32" s="13">
        <f>P32/O32</f>
        <v>0</v>
      </c>
      <c r="R32" s="2">
        <f>COUNTIFS(顧客データ!$F$4:$F$1048576,"&gt;=2022/8/1",顧客データ!$F$4:$F$1048576,"&lt;=2022/8/31",顧客データ!$Q$4:$Q$1048576,"=~10",顧客データ!$J$4:$J$1048576,"&gt;=2022/8/1")</f>
        <v>1</v>
      </c>
      <c r="S32" s="2">
        <f>COUNTIFS(顧客データ!$F$4:$F$1048576,"&gt;=2022/8/1",顧客データ!$F$4:$F$1048576,"&lt;=2022/8/31",顧客データ!$Q$4:$Q$1048576,"=~10",顧客データ!$D$4:$D$1048576,"=*成約*")</f>
        <v>0</v>
      </c>
      <c r="T32" s="13">
        <f>S32/R32</f>
        <v>0</v>
      </c>
      <c r="U32" s="2">
        <f>COUNTIFS(顧客データ!$F$4:$F$1048576,"&gt;=2022/9/1",顧客データ!$F$4:$F$1048576,"&lt;=2022/9/30",顧客データ!$Q$4:$Q$1048576,"=~10",顧客データ!$J$4:$J$1048576,"&gt;=2022/9/1")</f>
        <v>0</v>
      </c>
      <c r="V32" s="2">
        <f>COUNTIFS(顧客データ!$F$4:$F$1048576,"&gt;=2022/9/1",顧客データ!$F$4:$F$1048576,"&lt;=2022/9/30",顧客データ!$Q$4:$Q$1048576,"=~10",顧客データ!$D$4:$D$1048576,"=*成約*")</f>
        <v>0</v>
      </c>
      <c r="W32" s="13" t="e">
        <f>V32/U32</f>
        <v>#DIV/0!</v>
      </c>
      <c r="X32" s="2">
        <f>COUNTIFS(顧客データ!$F$4:$F$1048576,"&gt;=2022/10/1",顧客データ!$F$4:$F$1048576,"&lt;=2022/10/31",顧客データ!$Q$4:$Q$1048576,"=~10",顧客データ!$J$4:$J$1048576,"&gt;=2022/10/1")</f>
        <v>2</v>
      </c>
      <c r="Y32" s="2">
        <f>COUNTIFS(顧客データ!$F$4:$F$1048576,"&gt;=2022/10/1",顧客データ!$F$4:$F$1048576,"&lt;=2022/10/31",顧客データ!$Q$4:$Q$1048576,"=~10",顧客データ!$D$4:$D$1048576,"=*成約*")</f>
        <v>1</v>
      </c>
      <c r="Z32" s="13">
        <f>Y32/X32</f>
        <v>0.5</v>
      </c>
      <c r="AA32" s="2">
        <f>COUNTIFS(顧客データ!$F$4:$F$1048576,"&gt;=2022/11/1",顧客データ!$F$4:$F$1048576,"&lt;=2022/11/30",顧客データ!$Q$4:$Q$1048576,"=~10",顧客データ!$J$4:$J$1048576,"&gt;=2022/11/1")</f>
        <v>1</v>
      </c>
      <c r="AB32" s="2">
        <f>COUNTIFS(顧客データ!$F$4:$F$1048576,"&gt;=2022/11/1",顧客データ!$F$4:$F$1048576,"&lt;=2022/11/30",顧客データ!$Q$4:$Q$1048576,"=~10",顧客データ!$D$4:$D$1048576,"=*成約*")</f>
        <v>0</v>
      </c>
      <c r="AC32" s="33">
        <f>AB32/AA32</f>
        <v>0</v>
      </c>
      <c r="AD32" s="2">
        <f>COUNTIFS(顧客データ!$F$4:$F$1048576,"&gt;=2022/12/1",顧客データ!$F$4:$F$1048576,"&lt;=2022/12/31",顧客データ!$Q$4:$Q$1048576,"=~10",顧客データ!$J$4:$J$1048576,"&gt;=2022/12/1")</f>
        <v>0</v>
      </c>
      <c r="AE32" s="2">
        <f>COUNTIFS(顧客データ!$F$4:$F$1048576,"&gt;=2022/12/1",顧客データ!$F$4:$F$1048576,"&lt;=2022/12/31",顧客データ!$Q$4:$Q$1048576,"=~10",顧客データ!$D$4:$D$1048576,"=*成約*")</f>
        <v>0</v>
      </c>
      <c r="AF32" s="34" t="e">
        <f>AE32/AD32</f>
        <v>#DIV/0!</v>
      </c>
      <c r="AG32" s="2">
        <f>COUNTIFS(顧客データ!$F$4:$F$1048576,"&gt;=2023/1/1",顧客データ!$F$4:$F$1048576,"&lt;=2023/1/31",顧客データ!$Q$4:$Q$1048576,"=~10",顧客データ!$J$4:$J$1048576,"&gt;=2023/1/1")</f>
        <v>0</v>
      </c>
      <c r="AH32" s="2">
        <f>COUNTIFS(顧客データ!$F$4:$F$1048576,"&gt;=2023/1/1",顧客データ!$F$4:$F$1048576,"&lt;=2023/1/31",顧客データ!$Q$4:$Q$1048576,"=~10",顧客データ!$D$4:$D$1048576,"=*成約*")</f>
        <v>0</v>
      </c>
      <c r="AI32" s="34" t="e">
        <f>AH32/AG32</f>
        <v>#DIV/0!</v>
      </c>
      <c r="AJ32" s="2">
        <f>COUNTIFS(顧客データ!$F$4:$F$1048576,"&gt;=2023/2/1",顧客データ!$F$4:$F$1048576,"&lt;=2023/2/28",顧客データ!$Q$4:$Q$1048576,"=~10",顧客データ!$J$4:$J$1048576,"&gt;=2023/2/1")</f>
        <v>0</v>
      </c>
      <c r="AK32" s="2">
        <f>COUNTIFS(顧客データ!$F$4:$F$1048576,"&gt;=2023/2/1",顧客データ!$F$4:$F$1048576,"&lt;=2023/2/28",顧客データ!$Q$4:$Q$1048576,"=~10",顧客データ!$D$4:$D$1048576,"=*成約*")</f>
        <v>0</v>
      </c>
      <c r="AL32" s="34" t="e">
        <f>AK32/AJ32</f>
        <v>#DIV/0!</v>
      </c>
      <c r="AM32" s="6">
        <f>C32+F32+I32+L32+O32+R32+U32+X32+AA32+AD32+AG32+AJ32</f>
        <v>12</v>
      </c>
      <c r="AN32" s="6">
        <f>D32+G32+J32+M32+P32+S32+V32+Y32+AB32+AE32+AH32+AK32</f>
        <v>6</v>
      </c>
      <c r="AO32" s="34">
        <f>AN32/AM32</f>
        <v>0.5</v>
      </c>
    </row>
    <row r="33" spans="2:41" x14ac:dyDescent="0.5">
      <c r="B33" t="s">
        <v>81</v>
      </c>
      <c r="C33" s="2">
        <f>COUNTIFS(顧客データ!$F$4:$F$1048576,"&gt;=2022/3/1",顧客データ!$F$4:$F$1048576,"&lt;=2022/3/31",顧客データ!$Q$4:$Q$1048576,"=11~20",顧客データ!$J$4:$J$1048576,"&gt;=2022/3/1")</f>
        <v>6</v>
      </c>
      <c r="D33" s="2">
        <f>COUNTIFS(顧客データ!$F$4:$F$1048576,"&gt;=2022/3/1",顧客データ!$F$4:$F$1048576,"&lt;=2022/3/31",顧客データ!$Q$4:$Q$1048576,"=11~20",顧客データ!$D$4:$D$1048576,"=*成約*")</f>
        <v>3</v>
      </c>
      <c r="E33" s="13">
        <f t="shared" ref="E33:E42" si="26">D33/C33</f>
        <v>0.5</v>
      </c>
      <c r="F33" s="2">
        <f>COUNTIFS(顧客データ!$F$4:$F$1048576,"&gt;=2022/4/1",顧客データ!$F$4:$F$1048576,"&lt;=2022/4/30",顧客データ!$Q$4:$Q$1048576,"=11~20",顧客データ!$J$4:$J$1048576,"&gt;=2022/4/1")</f>
        <v>2</v>
      </c>
      <c r="G33" s="2">
        <f>COUNTIFS(顧客データ!$F$4:$F$1048576,"&gt;=2022/4/1",顧客データ!$F$4:$F$1048576,"&lt;=2022/4/30",顧客データ!$Q$4:$Q$1048576,"=11~20",顧客データ!$D$4:$D$1048576,"=*成約*")</f>
        <v>1</v>
      </c>
      <c r="H33" s="13">
        <f t="shared" ref="H33:H42" si="27">G33/F33</f>
        <v>0.5</v>
      </c>
      <c r="I33" s="2">
        <f>COUNTIFS(顧客データ!$F$4:$F$1048576,"&gt;=2022/5/1",顧客データ!$F$4:$F$1048576,"&lt;=2022/5/31",顧客データ!$Q$4:$Q$1048576,"=11~20",顧客データ!$J$4:$J$1048576,"&gt;=2022/5/1")</f>
        <v>2</v>
      </c>
      <c r="J33" s="2">
        <f>COUNTIFS(顧客データ!$F$4:$F$1048576,"&gt;=2022/5/1",顧客データ!$F$4:$F$1048576,"&lt;=2022/5/31",顧客データ!$Q$4:$Q$1048576,"=11~20",顧客データ!$D$4:$D$1048576,"=*成約*")</f>
        <v>2</v>
      </c>
      <c r="K33" s="13">
        <f t="shared" ref="K33:K42" si="28">J33/I33</f>
        <v>1</v>
      </c>
      <c r="L33" s="2">
        <f>COUNTIFS(顧客データ!$F$4:$F$1048576,"&gt;=2022/6/1",顧客データ!$F$4:$F$1048576,"&lt;=2022/6/30",顧客データ!$Q$4:$Q$1048576,"=11~20",顧客データ!$J$4:$J$1048576,"&gt;=2022/6/1")</f>
        <v>3</v>
      </c>
      <c r="M33" s="2">
        <f>COUNTIFS(顧客データ!$F$4:$F$1048576,"&gt;=2022/6/1",顧客データ!$F$4:$F$1048576,"&lt;=2022/6/30",顧客データ!$Q$4:$Q$1048576,"=11~20",顧客データ!$D$4:$D$1048576,"=*成約*")</f>
        <v>1</v>
      </c>
      <c r="N33" s="13">
        <f t="shared" ref="N33:N42" si="29">M33/L33</f>
        <v>0.33333333333333331</v>
      </c>
      <c r="O33" s="2">
        <f>COUNTIFS(顧客データ!$F$4:$F$1048576,"&gt;=2022/7/1",顧客データ!$F$4:$F$1048576,"&lt;=2022/7/31",顧客データ!$Q$4:$Q$1048576,"=11~20",顧客データ!$J$4:$J$1048576,"&gt;=2022/7/1")</f>
        <v>1</v>
      </c>
      <c r="P33" s="2">
        <f>COUNTIFS(顧客データ!$F$4:$F$1048576,"&gt;=2022/7/1",顧客データ!$F$4:$F$1048576,"&lt;=2022/7/31",顧客データ!$Q$4:$Q$1048576,"=11~20",顧客データ!$D$4:$D$1048576,"=*成約*")</f>
        <v>0</v>
      </c>
      <c r="Q33" s="13">
        <f t="shared" ref="Q33:Q42" si="30">P33/O33</f>
        <v>0</v>
      </c>
      <c r="R33" s="2">
        <f>COUNTIFS(顧客データ!$F$4:$F$1048576,"&gt;=2022/8/1",顧客データ!$F$4:$F$1048576,"&lt;=2022/8/31",顧客データ!$Q$4:$Q$1048576,"=11~20",顧客データ!$J$4:$J$1048576,"&gt;=2022/8/1")</f>
        <v>2</v>
      </c>
      <c r="S33" s="2">
        <f>COUNTIFS(顧客データ!$F$4:$F$1048576,"&gt;=2022/8/1",顧客データ!$F$4:$F$1048576,"&lt;=2022/8/31",顧客データ!$Q$4:$Q$1048576,"=11~20",顧客データ!$D$4:$D$1048576,"=*成約*")</f>
        <v>1</v>
      </c>
      <c r="T33" s="13">
        <f t="shared" ref="T33:T42" si="31">S33/R33</f>
        <v>0.5</v>
      </c>
      <c r="U33" s="2">
        <f>COUNTIFS(顧客データ!$F$4:$F$1048576,"&gt;=2022/9/1",顧客データ!$F$4:$F$1048576,"&lt;=2022/9/30",顧客データ!$Q$4:$Q$1048576,"=11~20",顧客データ!$J$4:$J$1048576,"&gt;=2022/9/1")</f>
        <v>2</v>
      </c>
      <c r="V33" s="2">
        <f>COUNTIFS(顧客データ!$F$4:$F$1048576,"&gt;=2022/9/1",顧客データ!$F$4:$F$1048576,"&lt;=2022/9/30",顧客データ!$Q$4:$Q$1048576,"=11~20",顧客データ!$D$4:$D$1048576,"=*成約*")</f>
        <v>1</v>
      </c>
      <c r="W33" s="13">
        <f t="shared" ref="W33:W42" si="32">V33/U33</f>
        <v>0.5</v>
      </c>
      <c r="X33" s="2">
        <f>COUNTIFS(顧客データ!$F$4:$F$1048576,"&gt;=2022/10/1",顧客データ!$F$4:$F$1048576,"&lt;=2022/10/31",顧客データ!$Q$4:$Q$1048576,"=11~20",顧客データ!$J$4:$J$1048576,"&gt;=2022/10/1")</f>
        <v>2</v>
      </c>
      <c r="Y33" s="2">
        <f>COUNTIFS(顧客データ!$F$4:$F$1048576,"&gt;=2022/10/1",顧客データ!$F$4:$F$1048576,"&lt;=2022/10/31",顧客データ!$Q$4:$Q$1048576,"=11~20",顧客データ!$D$4:$D$1048576,"=*成約*")</f>
        <v>1</v>
      </c>
      <c r="Z33" s="13">
        <f t="shared" ref="Z33:Z42" si="33">Y33/X33</f>
        <v>0.5</v>
      </c>
      <c r="AA33" s="2">
        <f>COUNTIFS(顧客データ!$F$4:$F$1048576,"&gt;=2022/11/1",顧客データ!$F$4:$F$1048576,"&lt;=2022/11/30",顧客データ!$Q$4:$Q$1048576,"=11~20",顧客データ!$J$4:$J$1048576,"&gt;=2022/11/1")</f>
        <v>3</v>
      </c>
      <c r="AB33" s="2">
        <f>COUNTIFS(顧客データ!$F$4:$F$1048576,"&gt;=2022/11/1",顧客データ!$F$4:$F$1048576,"&lt;=2022/11/30",顧客データ!$Q$4:$Q$1048576,"=11~20",顧客データ!$D$4:$D$1048576,"=*成約*")</f>
        <v>1</v>
      </c>
      <c r="AC33" s="33">
        <f t="shared" ref="AC33:AC42" si="34">AB33/AA33</f>
        <v>0.33333333333333331</v>
      </c>
      <c r="AD33" s="2">
        <f>COUNTIFS(顧客データ!$F$4:$F$1048576,"&gt;=2022/12/1",顧客データ!$F$4:$F$1048576,"&lt;=2022/12/31",顧客データ!$Q$4:$Q$1048576,"=11~20",顧客データ!$J$4:$J$1048576,"&gt;=2022/12/1")</f>
        <v>2</v>
      </c>
      <c r="AE33" s="2">
        <f>COUNTIFS(顧客データ!$F$4:$F$1048576,"&gt;=2022/12/1",顧客データ!$F$4:$F$1048576,"&lt;=2022/12/31",顧客データ!$Q$4:$Q$1048576,"=11~20",顧客データ!$D$4:$D$1048576,"=*成約*")</f>
        <v>0</v>
      </c>
      <c r="AF33" s="34">
        <f t="shared" ref="AF33:AF42" si="35">AE33/AD33</f>
        <v>0</v>
      </c>
      <c r="AG33" s="2">
        <f>COUNTIFS(顧客データ!$F$4:$F$1048576,"&gt;=2023/1/1",顧客データ!$F$4:$F$1048576,"&lt;=2023/1/31",顧客データ!$Q$4:$Q$1048576,"=11~20",顧客データ!$J$4:$J$1048576,"&gt;=2023/1/1")</f>
        <v>3</v>
      </c>
      <c r="AH33" s="2">
        <f>COUNTIFS(顧客データ!$F$4:$F$1048576,"&gt;=2023/1/1",顧客データ!$F$4:$F$1048576,"&lt;=2023/1/31",顧客データ!$Q$4:$Q$1048576,"=11~20",顧客データ!$D$4:$D$1048576,"=*成約*")</f>
        <v>1</v>
      </c>
      <c r="AI33" s="34">
        <f t="shared" ref="AI33:AI42" si="36">AH33/AG33</f>
        <v>0.33333333333333331</v>
      </c>
      <c r="AJ33" s="2">
        <f>COUNTIFS(顧客データ!$F$4:$F$1048576,"&gt;=2023/2/1",顧客データ!$F$4:$F$1048576,"&lt;=2023/2/28",顧客データ!$Q$4:$Q$1048576,"=11~20",顧客データ!$J$4:$J$1048576,"&gt;=2023/2/1")</f>
        <v>0</v>
      </c>
      <c r="AK33" s="2">
        <f>COUNTIFS(顧客データ!$F$4:$F$1048576,"&gt;=2023/2/1",顧客データ!$F$4:$F$1048576,"&lt;=2023/2/28",顧客データ!$Q$4:$Q$1048576,"=11~20",顧客データ!$D$4:$D$1048576,"=*成約*")</f>
        <v>0</v>
      </c>
      <c r="AL33" s="34" t="e">
        <f t="shared" ref="AL33:AL42" si="37">AK33/AJ33</f>
        <v>#DIV/0!</v>
      </c>
      <c r="AM33" s="6">
        <f t="shared" ref="AM33:AM42" si="38">C33+F33+I33+L33+O33+R33+U33+X33+AA33+AD33+AG33+AJ33</f>
        <v>28</v>
      </c>
      <c r="AN33" s="6">
        <f t="shared" ref="AN33:AN42" si="39">D33+G33+J33+M33+P33+S33+V33+Y33+AB33+AE33+AH33+AK33</f>
        <v>12</v>
      </c>
      <c r="AO33" s="34">
        <f t="shared" ref="AO33:AO42" si="40">AN33/AM33</f>
        <v>0.42857142857142855</v>
      </c>
    </row>
    <row r="34" spans="2:41" x14ac:dyDescent="0.5">
      <c r="B34" t="s">
        <v>82</v>
      </c>
      <c r="C34" s="2">
        <f>COUNTIFS(顧客データ!$F$4:$F$1048576,"&gt;=2022/3/1",顧客データ!$F$4:$F$1048576,"&lt;=2022/3/31",顧客データ!$Q$4:$Q$1048576,"=21~30",顧客データ!$J$4:$J$1048576,"&gt;=2022/3/1")</f>
        <v>5</v>
      </c>
      <c r="D34" s="2">
        <f>COUNTIFS(顧客データ!$F$4:$F$1048576,"&gt;=2022/3/1",顧客データ!$F$4:$F$1048576,"&lt;=2022/3/31",顧客データ!$Q$4:$Q$1048576,"=21~30",顧客データ!$D$4:$D$1048576,"=*成約*")</f>
        <v>3</v>
      </c>
      <c r="E34" s="13">
        <f t="shared" si="26"/>
        <v>0.6</v>
      </c>
      <c r="F34" s="2">
        <f>COUNTIFS(顧客データ!$F$4:$F$1048576,"&gt;=2022/4/1",顧客データ!$F$4:$F$1048576,"&lt;=2022/4/30",顧客データ!$Q$4:$Q$1048576,"=21~30",顧客データ!$J$4:$J$1048576,"&gt;=2022/4/1")</f>
        <v>5</v>
      </c>
      <c r="G34" s="2">
        <f>COUNTIFS(顧客データ!$F$4:$F$1048576,"&gt;=2022/4/1",顧客データ!$F$4:$F$1048576,"&lt;=2022/4/30",顧客データ!$Q$4:$Q$1048576,"=21~30",顧客データ!$D$4:$D$1048576,"=*成約*")</f>
        <v>3</v>
      </c>
      <c r="H34" s="13">
        <f t="shared" si="27"/>
        <v>0.6</v>
      </c>
      <c r="I34" s="2">
        <f>COUNTIFS(顧客データ!$F$4:$F$1048576,"&gt;=2022/5/1",顧客データ!$F$4:$F$1048576,"&lt;=2022/5/31",顧客データ!$Q$4:$Q$1048576,"=21~30",顧客データ!$J$4:$J$1048576,"&gt;=2022/5/1")</f>
        <v>3</v>
      </c>
      <c r="J34" s="2">
        <f>COUNTIFS(顧客データ!$F$4:$F$1048576,"&gt;=2022/5/1",顧客データ!$F$4:$F$1048576,"&lt;=2022/5/31",顧客データ!$Q$4:$Q$1048576,"=21~30",顧客データ!$D$4:$D$1048576,"=*成約*")</f>
        <v>1</v>
      </c>
      <c r="K34" s="13">
        <f t="shared" si="28"/>
        <v>0.33333333333333331</v>
      </c>
      <c r="L34" s="2">
        <f>COUNTIFS(顧客データ!$F$4:$F$1048576,"&gt;=2022/6/1",顧客データ!$F$4:$F$1048576,"&lt;=2022/6/30",顧客データ!$Q$4:$Q$1048576,"=21~30",顧客データ!$J$4:$J$1048576,"&gt;=2022/6/1")</f>
        <v>1</v>
      </c>
      <c r="M34" s="2">
        <f>COUNTIFS(顧客データ!$F$4:$F$1048576,"&gt;=2022/6/1",顧客データ!$F$4:$F$1048576,"&lt;=2022/6/30",顧客データ!$Q$4:$Q$1048576,"=21~30",顧客データ!$D$4:$D$1048576,"=*成約*")</f>
        <v>0</v>
      </c>
      <c r="N34" s="13">
        <f t="shared" si="29"/>
        <v>0</v>
      </c>
      <c r="O34" s="2">
        <f>COUNTIFS(顧客データ!$F$4:$F$1048576,"&gt;=2022/7/1",顧客データ!$F$4:$F$1048576,"&lt;=2022/7/31",顧客データ!$Q$4:$Q$1048576,"=21~30",顧客データ!$J$4:$J$1048576,"&gt;=2022/7/1")</f>
        <v>1</v>
      </c>
      <c r="P34" s="2">
        <f>COUNTIFS(顧客データ!$F$4:$F$1048576,"&gt;=2022/7/1",顧客データ!$F$4:$F$1048576,"&lt;=2022/7/31",顧客データ!$Q$4:$Q$1048576,"=21~30",顧客データ!$D$4:$D$1048576,"=*成約*")</f>
        <v>0</v>
      </c>
      <c r="Q34" s="13">
        <f t="shared" si="30"/>
        <v>0</v>
      </c>
      <c r="R34" s="2">
        <f>COUNTIFS(顧客データ!$F$4:$F$1048576,"&gt;=2022/8/1",顧客データ!$F$4:$F$1048576,"&lt;=2022/8/31",顧客データ!$Q$4:$Q$1048576,"=21~30",顧客データ!$J$4:$J$1048576,"&gt;=2022/8/1")</f>
        <v>1</v>
      </c>
      <c r="S34" s="2">
        <f>COUNTIFS(顧客データ!$F$4:$F$1048576,"&gt;=2022/8/1",顧客データ!$F$4:$F$1048576,"&lt;=2022/8/31",顧客データ!$Q$4:$Q$1048576,"=21~30",顧客データ!$D$4:$D$1048576,"=*成約*")</f>
        <v>0</v>
      </c>
      <c r="T34" s="13">
        <f t="shared" si="31"/>
        <v>0</v>
      </c>
      <c r="U34" s="2">
        <f>COUNTIFS(顧客データ!$F$4:$F$1048576,"&gt;=2022/9/1",顧客データ!$F$4:$F$1048576,"&lt;=2022/9/30",顧客データ!$Q$4:$Q$1048576,"=21~30",顧客データ!$J$4:$J$1048576,"&gt;=2022/9/1")</f>
        <v>0</v>
      </c>
      <c r="V34" s="2">
        <f>COUNTIFS(顧客データ!$F$4:$F$1048576,"&gt;=2022/9/1",顧客データ!$F$4:$F$1048576,"&lt;=2022/9/30",顧客データ!$Q$4:$Q$1048576,"=21~30",顧客データ!$D$4:$D$1048576,"=*成約*")</f>
        <v>0</v>
      </c>
      <c r="W34" s="13" t="e">
        <f t="shared" si="32"/>
        <v>#DIV/0!</v>
      </c>
      <c r="X34" s="2">
        <f>COUNTIFS(顧客データ!$F$4:$F$1048576,"&gt;=2022/10/1",顧客データ!$F$4:$F$1048576,"&lt;=2022/10/31",顧客データ!$Q$4:$Q$1048576,"=21~30",顧客データ!$J$4:$J$1048576,"&gt;=2022/10/1")</f>
        <v>1</v>
      </c>
      <c r="Y34" s="2">
        <f>COUNTIFS(顧客データ!$F$4:$F$1048576,"&gt;=2022/10/1",顧客データ!$F$4:$F$1048576,"&lt;=2022/10/31",顧客データ!$Q$4:$Q$1048576,"=21~30",顧客データ!$D$4:$D$1048576,"=*成約*")</f>
        <v>0</v>
      </c>
      <c r="Z34" s="13">
        <f t="shared" si="33"/>
        <v>0</v>
      </c>
      <c r="AA34" s="2">
        <f>COUNTIFS(顧客データ!$F$4:$F$1048576,"&gt;=2022/11/1",顧客データ!$F$4:$F$1048576,"&lt;=2022/11/30",顧客データ!$Q$4:$Q$1048576,"=21~30",顧客データ!$J$4:$J$1048576,"&gt;=2022/11/1")</f>
        <v>3</v>
      </c>
      <c r="AB34" s="2">
        <f>COUNTIFS(顧客データ!$F$4:$F$1048576,"&gt;=2022/11/1",顧客データ!$F$4:$F$1048576,"&lt;=2022/11/30",顧客データ!$Q$4:$Q$1048576,"=21~30",顧客データ!$D$4:$D$1048576,"=*成約*")</f>
        <v>3</v>
      </c>
      <c r="AC34" s="33">
        <f t="shared" si="34"/>
        <v>1</v>
      </c>
      <c r="AD34" s="2">
        <f>COUNTIFS(顧客データ!$F$4:$F$1048576,"&gt;=2022/12/1",顧客データ!$F$4:$F$1048576,"&lt;=2022/12/31",顧客データ!$Q$4:$Q$1048576,"=21~30",顧客データ!$J$4:$J$1048576,"&gt;=2022/12/1")</f>
        <v>2</v>
      </c>
      <c r="AE34" s="2">
        <f>COUNTIFS(顧客データ!$F$4:$F$1048576,"&gt;=2022/12/1",顧客データ!$F$4:$F$1048576,"&lt;=2022/12/31",顧客データ!$Q$4:$Q$1048576,"=21~30",顧客データ!$D$4:$D$1048576,"=*成約*")</f>
        <v>1</v>
      </c>
      <c r="AF34" s="34">
        <f t="shared" si="35"/>
        <v>0.5</v>
      </c>
      <c r="AG34" s="2">
        <f>COUNTIFS(顧客データ!$F$4:$F$1048576,"&gt;=2023/1/1",顧客データ!$F$4:$F$1048576,"&lt;=2023/1/31",顧客データ!$Q$4:$Q$1048576,"=21~30",顧客データ!$J$4:$J$1048576,"&gt;=2023/1/1")</f>
        <v>2</v>
      </c>
      <c r="AH34" s="2">
        <f>COUNTIFS(顧客データ!$F$4:$F$1048576,"&gt;=2023/1/1",顧客データ!$F$4:$F$1048576,"&lt;=2023/1/31",顧客データ!$Q$4:$Q$1048576,"=21~30",顧客データ!$D$4:$D$1048576,"=*成約*")</f>
        <v>0</v>
      </c>
      <c r="AI34" s="34">
        <f t="shared" si="36"/>
        <v>0</v>
      </c>
      <c r="AJ34" s="2">
        <f>COUNTIFS(顧客データ!$F$4:$F$1048576,"&gt;=2023/2/1",顧客データ!$F$4:$F$1048576,"&lt;=2023/2/28",顧客データ!$Q$4:$Q$1048576,"=21~30",顧客データ!$J$4:$J$1048576,"&gt;=2023/2/1")</f>
        <v>0</v>
      </c>
      <c r="AK34" s="2">
        <f>COUNTIFS(顧客データ!$F$4:$F$1048576,"&gt;=2023/2/1",顧客データ!$F$4:$F$1048576,"&lt;=2023/2/28",顧客データ!$Q$4:$Q$1048576,"=21~30",顧客データ!$D$4:$D$1048576,"=*成約*")</f>
        <v>0</v>
      </c>
      <c r="AL34" s="34" t="e">
        <f t="shared" si="37"/>
        <v>#DIV/0!</v>
      </c>
      <c r="AM34" s="6">
        <f t="shared" si="38"/>
        <v>24</v>
      </c>
      <c r="AN34" s="6">
        <f t="shared" si="39"/>
        <v>11</v>
      </c>
      <c r="AO34" s="34">
        <f t="shared" si="40"/>
        <v>0.45833333333333331</v>
      </c>
    </row>
    <row r="35" spans="2:41" x14ac:dyDescent="0.5">
      <c r="B35" t="s">
        <v>83</v>
      </c>
      <c r="C35" s="2">
        <f>COUNTIFS(顧客データ!$F$4:$F$1048576,"&gt;=2022/3/1",顧客データ!$F$4:$F$1048576,"&lt;=2022/3/31",顧客データ!$Q$4:$Q$1048576,"=31~40",顧客データ!$J$4:$J$1048576,"&gt;=2022/3/1")</f>
        <v>3</v>
      </c>
      <c r="D35" s="2">
        <f>COUNTIFS(顧客データ!$F$4:$F$1048576,"&gt;=2022/3/1",顧客データ!$F$4:$F$1048576,"&lt;=2022/3/31",顧客データ!$Q$4:$Q$1048576,"=31~40",顧客データ!$D$4:$D$1048576,"=*成約*")</f>
        <v>1</v>
      </c>
      <c r="E35" s="13">
        <f t="shared" si="26"/>
        <v>0.33333333333333331</v>
      </c>
      <c r="F35" s="2">
        <f>COUNTIFS(顧客データ!$F$4:$F$1048576,"&gt;=2022/4/1",顧客データ!$F$4:$F$1048576,"&lt;=2022/4/30",顧客データ!$Q$4:$Q$1048576,"=31~40",顧客データ!$J$4:$J$1048576,"&gt;=2022/4/1")</f>
        <v>3</v>
      </c>
      <c r="G35" s="2">
        <f>COUNTIFS(顧客データ!$F$4:$F$1048576,"&gt;=2022/4/1",顧客データ!$F$4:$F$1048576,"&lt;=2022/4/30",顧客データ!$Q$4:$Q$1048576,"=31~40",顧客データ!$D$4:$D$1048576,"=*成約*")</f>
        <v>1</v>
      </c>
      <c r="H35" s="13">
        <f t="shared" si="27"/>
        <v>0.33333333333333331</v>
      </c>
      <c r="I35" s="2">
        <f>COUNTIFS(顧客データ!$F$4:$F$1048576,"&gt;=2022/5/1",顧客データ!$F$4:$F$1048576,"&lt;=2022/5/31",顧客データ!$Q$4:$Q$1048576,"=31~40",顧客データ!$J$4:$J$1048576,"&gt;=2022/5/1")</f>
        <v>2</v>
      </c>
      <c r="J35" s="2">
        <f>COUNTIFS(顧客データ!$F$4:$F$1048576,"&gt;=2022/5/1",顧客データ!$F$4:$F$1048576,"&lt;=2022/5/31",顧客データ!$Q$4:$Q$1048576,"=31~40",顧客データ!$D$4:$D$1048576,"=*成約*")</f>
        <v>0</v>
      </c>
      <c r="K35" s="13">
        <f t="shared" si="28"/>
        <v>0</v>
      </c>
      <c r="L35" s="2">
        <f>COUNTIFS(顧客データ!$F$4:$F$1048576,"&gt;=2022/6/1",顧客データ!$F$4:$F$1048576,"&lt;=2022/6/30",顧客データ!$Q$4:$Q$1048576,"=31~40",顧客データ!$J$4:$J$1048576,"&gt;=2022/6/1")</f>
        <v>2</v>
      </c>
      <c r="M35" s="2">
        <f>COUNTIFS(顧客データ!$F$4:$F$1048576,"&gt;=2022/6/1",顧客データ!$F$4:$F$1048576,"&lt;=2022/6/30",顧客データ!$Q$4:$Q$1048576,"=31~40",顧客データ!$D$4:$D$1048576,"=*成約*")</f>
        <v>2</v>
      </c>
      <c r="N35" s="13">
        <f t="shared" si="29"/>
        <v>1</v>
      </c>
      <c r="O35" s="2">
        <f>COUNTIFS(顧客データ!$F$4:$F$1048576,"&gt;=2022/7/1",顧客データ!$F$4:$F$1048576,"&lt;=2022/7/31",顧客データ!$Q$4:$Q$1048576,"=31~40",顧客データ!$J$4:$J$1048576,"&gt;=2022/7/1")</f>
        <v>0</v>
      </c>
      <c r="P35" s="2">
        <f>COUNTIFS(顧客データ!$F$4:$F$1048576,"&gt;=2022/7/1",顧客データ!$F$4:$F$1048576,"&lt;=2022/7/31",顧客データ!$Q$4:$Q$1048576,"=31~40",顧客データ!$D$4:$D$1048576,"=*成約*")</f>
        <v>0</v>
      </c>
      <c r="Q35" s="13" t="e">
        <f t="shared" si="30"/>
        <v>#DIV/0!</v>
      </c>
      <c r="R35" s="2">
        <f>COUNTIFS(顧客データ!$F$4:$F$1048576,"&gt;=2022/8/1",顧客データ!$F$4:$F$1048576,"&lt;=2022/8/31",顧客データ!$Q$4:$Q$1048576,"=31~40",顧客データ!$J$4:$J$1048576,"&gt;=2022/8/1")</f>
        <v>1</v>
      </c>
      <c r="S35" s="2">
        <f>COUNTIFS(顧客データ!$F$4:$F$1048576,"&gt;=2022/8/1",顧客データ!$F$4:$F$1048576,"&lt;=2022/8/31",顧客データ!$Q$4:$Q$1048576,"=31~40",顧客データ!$D$4:$D$1048576,"=*成約*")</f>
        <v>0</v>
      </c>
      <c r="T35" s="13">
        <f t="shared" si="31"/>
        <v>0</v>
      </c>
      <c r="U35" s="2">
        <f>COUNTIFS(顧客データ!$F$4:$F$1048576,"&gt;=2022/9/1",顧客データ!$F$4:$F$1048576,"&lt;=2022/9/30",顧客データ!$Q$4:$Q$1048576,"=31~40",顧客データ!$J$4:$J$1048576,"&gt;=2022/9/1")</f>
        <v>1</v>
      </c>
      <c r="V35" s="2">
        <f>COUNTIFS(顧客データ!$F$4:$F$1048576,"&gt;=2022/9/1",顧客データ!$F$4:$F$1048576,"&lt;=2022/9/30",顧客データ!$Q$4:$Q$1048576,"=31~40",顧客データ!$D$4:$D$1048576,"=*成約*")</f>
        <v>0</v>
      </c>
      <c r="W35" s="13">
        <f t="shared" si="32"/>
        <v>0</v>
      </c>
      <c r="X35" s="2">
        <f>COUNTIFS(顧客データ!$F$4:$F$1048576,"&gt;=2022/10/1",顧客データ!$F$4:$F$1048576,"&lt;=2022/10/31",顧客データ!$Q$4:$Q$1048576,"=31~40",顧客データ!$J$4:$J$1048576,"&gt;=2022/10/1")</f>
        <v>0</v>
      </c>
      <c r="Y35" s="2">
        <f>COUNTIFS(顧客データ!$F$4:$F$1048576,"&gt;=2022/10/1",顧客データ!$F$4:$F$1048576,"&lt;=2022/10/31",顧客データ!$Q$4:$Q$1048576,"=31~40",顧客データ!$D$4:$D$1048576,"=*成約*")</f>
        <v>0</v>
      </c>
      <c r="Z35" s="13" t="e">
        <f t="shared" si="33"/>
        <v>#DIV/0!</v>
      </c>
      <c r="AA35" s="2">
        <f>COUNTIFS(顧客データ!$F$4:$F$1048576,"&gt;=2022/11/1",顧客データ!$F$4:$F$1048576,"&lt;=2022/11/30",顧客データ!$Q$4:$Q$1048576,"=31~40",顧客データ!$J$4:$J$1048576,"&gt;=2022/11/1")</f>
        <v>0</v>
      </c>
      <c r="AB35" s="2">
        <f>COUNTIFS(顧客データ!$F$4:$F$1048576,"&gt;=2022/11/1",顧客データ!$F$4:$F$1048576,"&lt;=2022/11/30",顧客データ!$Q$4:$Q$1048576,"=31~40",顧客データ!$D$4:$D$1048576,"=*成約*")</f>
        <v>0</v>
      </c>
      <c r="AC35" s="33" t="e">
        <f t="shared" si="34"/>
        <v>#DIV/0!</v>
      </c>
      <c r="AD35" s="2">
        <f>COUNTIFS(顧客データ!$F$4:$F$1048576,"&gt;=2022/12/1",顧客データ!$F$4:$F$1048576,"&lt;=2022/12/31",顧客データ!$Q$4:$Q$1048576,"=31~40",顧客データ!$J$4:$J$1048576,"&gt;=2022/12/1")</f>
        <v>0</v>
      </c>
      <c r="AE35" s="2">
        <f>COUNTIFS(顧客データ!$F$4:$F$1048576,"&gt;=2022/12/1",顧客データ!$F$4:$F$1048576,"&lt;=2022/12/31",顧客データ!$Q$4:$Q$1048576,"=31~40",顧客データ!$D$4:$D$1048576,"=*成約*")</f>
        <v>0</v>
      </c>
      <c r="AF35" s="34" t="e">
        <f t="shared" si="35"/>
        <v>#DIV/0!</v>
      </c>
      <c r="AG35" s="2">
        <f>COUNTIFS(顧客データ!$F$4:$F$1048576,"&gt;=2023/1/1",顧客データ!$F$4:$F$1048576,"&lt;=2023/1/31",顧客データ!$Q$4:$Q$1048576,"=31~40",顧客データ!$J$4:$J$1048576,"&gt;=2023/1/1")</f>
        <v>3</v>
      </c>
      <c r="AH35" s="2">
        <f>COUNTIFS(顧客データ!$F$4:$F$1048576,"&gt;=2023/1/1",顧客データ!$F$4:$F$1048576,"&lt;=2023/1/31",顧客データ!$Q$4:$Q$1048576,"=31~40",顧客データ!$D$4:$D$1048576,"=*成約*")</f>
        <v>1</v>
      </c>
      <c r="AI35" s="34">
        <f t="shared" si="36"/>
        <v>0.33333333333333331</v>
      </c>
      <c r="AJ35" s="2">
        <f>COUNTIFS(顧客データ!$F$4:$F$1048576,"&gt;=2023/2/1",顧客データ!$F$4:$F$1048576,"&lt;=2023/2/28",顧客データ!$Q$4:$Q$1048576,"=31~40",顧客データ!$J$4:$J$1048576,"&gt;=2023/2/1")</f>
        <v>0</v>
      </c>
      <c r="AK35" s="2">
        <f>COUNTIFS(顧客データ!$F$4:$F$1048576,"&gt;=2023/2/1",顧客データ!$F$4:$F$1048576,"&lt;=2023/2/28",顧客データ!$Q$4:$Q$1048576,"=31~40",顧客データ!$D$4:$D$1048576,"=*成約*")</f>
        <v>0</v>
      </c>
      <c r="AL35" s="34" t="e">
        <f t="shared" si="37"/>
        <v>#DIV/0!</v>
      </c>
      <c r="AM35" s="6">
        <f t="shared" si="38"/>
        <v>15</v>
      </c>
      <c r="AN35" s="6">
        <f t="shared" si="39"/>
        <v>5</v>
      </c>
      <c r="AO35" s="34">
        <f t="shared" si="40"/>
        <v>0.33333333333333331</v>
      </c>
    </row>
    <row r="36" spans="2:41" x14ac:dyDescent="0.5">
      <c r="B36" t="s">
        <v>84</v>
      </c>
      <c r="C36" s="2">
        <f>COUNTIFS(顧客データ!$F$4:$F$1048576,"&gt;=2022/3/1",顧客データ!$F$4:$F$1048576,"&lt;=2022/3/31",顧客データ!$Q$4:$Q$1048576,"=41~50",顧客データ!$J$4:$J$1048576,"&gt;=2022/3/1")</f>
        <v>0</v>
      </c>
      <c r="D36" s="2">
        <f>COUNTIFS(顧客データ!$F$4:$F$1048576,"&gt;=2022/3/1",顧客データ!$F$4:$F$1048576,"&lt;=2022/3/31",顧客データ!$Q$4:$Q$1048576,"=41~50",顧客データ!$D$4:$D$1048576,"=*成約*")</f>
        <v>0</v>
      </c>
      <c r="E36" s="13" t="e">
        <f t="shared" si="26"/>
        <v>#DIV/0!</v>
      </c>
      <c r="F36" s="2">
        <f>COUNTIFS(顧客データ!$F$4:$F$1048576,"&gt;=2022/4/1",顧客データ!$F$4:$F$1048576,"&lt;=2022/4/30",顧客データ!$Q$4:$Q$1048576,"=41~50",顧客データ!$J$4:$J$1048576,"&gt;=2022/4/1")</f>
        <v>1</v>
      </c>
      <c r="G36" s="2">
        <f>COUNTIFS(顧客データ!$F$4:$F$1048576,"&gt;=2022/4/1",顧客データ!$F$4:$F$1048576,"&lt;=2022/4/30",顧客データ!$Q$4:$Q$1048576,"=41~50",顧客データ!$D$4:$D$1048576,"=*成約*")</f>
        <v>1</v>
      </c>
      <c r="H36" s="13">
        <f t="shared" si="27"/>
        <v>1</v>
      </c>
      <c r="I36" s="2">
        <f>COUNTIFS(顧客データ!$F$4:$F$1048576,"&gt;=2022/5/1",顧客データ!$F$4:$F$1048576,"&lt;=2022/5/31",顧客データ!$Q$4:$Q$1048576,"=41~50",顧客データ!$J$4:$J$1048576,"&gt;=2022/5/1")</f>
        <v>5</v>
      </c>
      <c r="J36" s="2">
        <f>COUNTIFS(顧客データ!$F$4:$F$1048576,"&gt;=2022/5/1",顧客データ!$F$4:$F$1048576,"&lt;=2022/5/31",顧客データ!$Q$4:$Q$1048576,"=41~50",顧客データ!$D$4:$D$1048576,"=*成約*")</f>
        <v>2</v>
      </c>
      <c r="K36" s="13">
        <f t="shared" si="28"/>
        <v>0.4</v>
      </c>
      <c r="L36" s="2">
        <f>COUNTIFS(顧客データ!$F$4:$F$1048576,"&gt;=2022/6/1",顧客データ!$F$4:$F$1048576,"&lt;=2022/6/30",顧客データ!$Q$4:$Q$1048576,"=41~50",顧客データ!$J$4:$J$1048576,"&gt;=2022/6/1")</f>
        <v>1</v>
      </c>
      <c r="M36" s="2">
        <f>COUNTIFS(顧客データ!$F$4:$F$1048576,"&gt;=2022/6/1",顧客データ!$F$4:$F$1048576,"&lt;=2022/6/30",顧客データ!$Q$4:$Q$1048576,"=41~50",顧客データ!$D$4:$D$1048576,"=*成約*")</f>
        <v>1</v>
      </c>
      <c r="N36" s="13">
        <f t="shared" si="29"/>
        <v>1</v>
      </c>
      <c r="O36" s="2">
        <f>COUNTIFS(顧客データ!$F$4:$F$1048576,"&gt;=2022/7/1",顧客データ!$F$4:$F$1048576,"&lt;=2022/7/31",顧客データ!$Q$4:$Q$1048576,"=41~50",顧客データ!$J$4:$J$1048576,"&gt;=2022/7/1")</f>
        <v>2</v>
      </c>
      <c r="P36" s="2">
        <f>COUNTIFS(顧客データ!$F$4:$F$1048576,"&gt;=2022/7/1",顧客データ!$F$4:$F$1048576,"&lt;=2022/7/31",顧客データ!$Q$4:$Q$1048576,"=41~50",顧客データ!$D$4:$D$1048576,"=*成約*")</f>
        <v>1</v>
      </c>
      <c r="Q36" s="13">
        <f t="shared" si="30"/>
        <v>0.5</v>
      </c>
      <c r="R36" s="2">
        <f>COUNTIFS(顧客データ!$F$4:$F$1048576,"&gt;=2022/8/1",顧客データ!$F$4:$F$1048576,"&lt;=2022/8/31",顧客データ!$Q$4:$Q$1048576,"=41~50",顧客データ!$J$4:$J$1048576,"&gt;=2022/8/1")</f>
        <v>3</v>
      </c>
      <c r="S36" s="2">
        <f>COUNTIFS(顧客データ!$F$4:$F$1048576,"&gt;=2022/8/1",顧客データ!$F$4:$F$1048576,"&lt;=2022/8/31",顧客データ!$Q$4:$Q$1048576,"=41~50",顧客データ!$D$4:$D$1048576,"=*成約*")</f>
        <v>2</v>
      </c>
      <c r="T36" s="13">
        <f t="shared" si="31"/>
        <v>0.66666666666666663</v>
      </c>
      <c r="U36" s="2">
        <f>COUNTIFS(顧客データ!$F$4:$F$1048576,"&gt;=2022/9/1",顧客データ!$F$4:$F$1048576,"&lt;=2022/9/30",顧客データ!$Q$4:$Q$1048576,"=41~50",顧客データ!$J$4:$J$1048576,"&gt;=2022/9/1")</f>
        <v>2</v>
      </c>
      <c r="V36" s="2">
        <f>COUNTIFS(顧客データ!$F$4:$F$1048576,"&gt;=2022/9/1",顧客データ!$F$4:$F$1048576,"&lt;=2022/9/30",顧客データ!$Q$4:$Q$1048576,"=41~50",顧客データ!$D$4:$D$1048576,"=*成約*")</f>
        <v>0</v>
      </c>
      <c r="W36" s="13">
        <f t="shared" si="32"/>
        <v>0</v>
      </c>
      <c r="X36" s="2">
        <f>COUNTIFS(顧客データ!$F$4:$F$1048576,"&gt;=2022/10/1",顧客データ!$F$4:$F$1048576,"&lt;=2022/10/31",顧客データ!$Q$4:$Q$1048576,"=41~50",顧客データ!$J$4:$J$1048576,"&gt;=2022/10/1")</f>
        <v>3</v>
      </c>
      <c r="Y36" s="2">
        <f>COUNTIFS(顧客データ!$F$4:$F$1048576,"&gt;=2022/10/1",顧客データ!$F$4:$F$1048576,"&lt;=2022/10/31",顧客データ!$Q$4:$Q$1048576,"=41~50",顧客データ!$D$4:$D$1048576,"=*成約*")</f>
        <v>0</v>
      </c>
      <c r="Z36" s="13">
        <f t="shared" si="33"/>
        <v>0</v>
      </c>
      <c r="AA36" s="2">
        <f>COUNTIFS(顧客データ!$F$4:$F$1048576,"&gt;=2022/11/1",顧客データ!$F$4:$F$1048576,"&lt;=2022/11/30",顧客データ!$Q$4:$Q$1048576,"=41~50",顧客データ!$J$4:$J$1048576,"&gt;=2022/11/1")</f>
        <v>4</v>
      </c>
      <c r="AB36" s="2">
        <f>COUNTIFS(顧客データ!$F$4:$F$1048576,"&gt;=2022/11/1",顧客データ!$F$4:$F$1048576,"&lt;=2022/11/30",顧客データ!$Q$4:$Q$1048576,"=41~50",顧客データ!$D$4:$D$1048576,"=*成約*")</f>
        <v>0</v>
      </c>
      <c r="AC36" s="33">
        <f t="shared" si="34"/>
        <v>0</v>
      </c>
      <c r="AD36" s="2">
        <f>COUNTIFS(顧客データ!$F$4:$F$1048576,"&gt;=2022/12/1",顧客データ!$F$4:$F$1048576,"&lt;=2022/12/31",顧客データ!$Q$4:$Q$1048576,"=41~50",顧客データ!$J$4:$J$1048576,"&gt;=2022/12/1")</f>
        <v>1</v>
      </c>
      <c r="AE36" s="2">
        <f>COUNTIFS(顧客データ!$F$4:$F$1048576,"&gt;=2022/12/1",顧客データ!$F$4:$F$1048576,"&lt;=2022/12/31",顧客データ!$Q$4:$Q$1048576,"=41~50",顧客データ!$D$4:$D$1048576,"=*成約*")</f>
        <v>0</v>
      </c>
      <c r="AF36" s="34">
        <f t="shared" si="35"/>
        <v>0</v>
      </c>
      <c r="AG36" s="2">
        <f>COUNTIFS(顧客データ!$F$4:$F$1048576,"&gt;=2023/1/1",顧客データ!$F$4:$F$1048576,"&lt;=2023/1/31",顧客データ!$Q$4:$Q$1048576,"=41~50",顧客データ!$J$4:$J$1048576,"&gt;=2023/1/1")</f>
        <v>3</v>
      </c>
      <c r="AH36" s="2">
        <f>COUNTIFS(顧客データ!$F$4:$F$1048576,"&gt;=2023/1/1",顧客データ!$F$4:$F$1048576,"&lt;=2023/1/31",顧客データ!$Q$4:$Q$1048576,"=41~50",顧客データ!$D$4:$D$1048576,"=*成約*")</f>
        <v>0</v>
      </c>
      <c r="AI36" s="34">
        <f t="shared" si="36"/>
        <v>0</v>
      </c>
      <c r="AJ36" s="2">
        <f>COUNTIFS(顧客データ!$F$4:$F$1048576,"&gt;=2023/2/1",顧客データ!$F$4:$F$1048576,"&lt;=2023/2/28",顧客データ!$Q$4:$Q$1048576,"=41~50",顧客データ!$J$4:$J$1048576,"&gt;=2023/2/1")</f>
        <v>0</v>
      </c>
      <c r="AK36" s="2">
        <f>COUNTIFS(顧客データ!$F$4:$F$1048576,"&gt;=2023/2/1",顧客データ!$F$4:$F$1048576,"&lt;=2023/2/28",顧客データ!$Q$4:$Q$1048576,"=41~50",顧客データ!$D$4:$D$1048576,"=*成約*")</f>
        <v>0</v>
      </c>
      <c r="AL36" s="34" t="e">
        <f t="shared" si="37"/>
        <v>#DIV/0!</v>
      </c>
      <c r="AM36" s="6">
        <f t="shared" si="38"/>
        <v>25</v>
      </c>
      <c r="AN36" s="6">
        <f t="shared" si="39"/>
        <v>7</v>
      </c>
      <c r="AO36" s="34">
        <f t="shared" si="40"/>
        <v>0.28000000000000003</v>
      </c>
    </row>
    <row r="37" spans="2:41" x14ac:dyDescent="0.5">
      <c r="B37" t="s">
        <v>85</v>
      </c>
      <c r="C37" s="2">
        <f>COUNTIFS(顧客データ!$F$4:$F$1048576,"&gt;=2022/3/1",顧客データ!$F$4:$F$1048576,"&lt;=2022/3/31",顧客データ!$Q$4:$Q$1048576,"=51~60",顧客データ!$J$4:$J$1048576,"&gt;=2022/3/1")</f>
        <v>1</v>
      </c>
      <c r="D37" s="2">
        <f>COUNTIFS(顧客データ!$F$4:$F$1048576,"&gt;=2022/3/1",顧客データ!$F$4:$F$1048576,"&lt;=2022/3/31",顧客データ!$Q$4:$Q$1048576,"=51~60",顧客データ!$D$4:$D$1048576,"=*成約*")</f>
        <v>0</v>
      </c>
      <c r="E37" s="13">
        <f t="shared" ref="E37:E40" si="41">D37/C37</f>
        <v>0</v>
      </c>
      <c r="F37" s="2">
        <f>COUNTIFS(顧客データ!$F$4:$F$1048576,"&gt;=2022/4/1",顧客データ!$F$4:$F$1048576,"&lt;=2022/4/30",顧客データ!$Q$4:$Q$1048576,"=51~60",顧客データ!$J$4:$J$1048576,"&gt;=2022/4/1")</f>
        <v>1</v>
      </c>
      <c r="G37" s="2">
        <f>COUNTIFS(顧客データ!$F$4:$F$1048576,"&gt;=2022/4/1",顧客データ!$F$4:$F$1048576,"&lt;=2022/4/30",顧客データ!$Q$4:$Q$1048576,"=51~60",顧客データ!$D$4:$D$1048576,"=*成約*")</f>
        <v>1</v>
      </c>
      <c r="H37" s="13">
        <f t="shared" ref="H37:H40" si="42">G37/F37</f>
        <v>1</v>
      </c>
      <c r="I37" s="2">
        <f>COUNTIFS(顧客データ!$F$4:$F$1048576,"&gt;=2022/5/1",顧客データ!$F$4:$F$1048576,"&lt;=2022/5/31",顧客データ!$Q$4:$Q$1048576,"=51~60",顧客データ!$J$4:$J$1048576,"&gt;=2022/5/1")</f>
        <v>0</v>
      </c>
      <c r="J37" s="2">
        <f>COUNTIFS(顧客データ!$F$4:$F$1048576,"&gt;=2022/5/1",顧客データ!$F$4:$F$1048576,"&lt;=2022/5/31",顧客データ!$Q$4:$Q$1048576,"=51~60",顧客データ!$D$4:$D$1048576,"=*成約*")</f>
        <v>0</v>
      </c>
      <c r="K37" s="13" t="e">
        <f t="shared" ref="K37:K40" si="43">J37/I37</f>
        <v>#DIV/0!</v>
      </c>
      <c r="L37" s="2">
        <f>COUNTIFS(顧客データ!$F$4:$F$1048576,"&gt;=2022/6/1",顧客データ!$F$4:$F$1048576,"&lt;=2022/6/30",顧客データ!$Q$4:$Q$1048576,"=51~60",顧客データ!$J$4:$J$1048576,"&gt;=2022/6/1")</f>
        <v>0</v>
      </c>
      <c r="M37" s="2">
        <f>COUNTIFS(顧客データ!$F$4:$F$1048576,"&gt;=2022/6/1",顧客データ!$F$4:$F$1048576,"&lt;=2022/6/30",顧客データ!$Q$4:$Q$1048576,"=51~60",顧客データ!$D$4:$D$1048576,"=*成約*")</f>
        <v>0</v>
      </c>
      <c r="N37" s="13" t="e">
        <f t="shared" ref="N37:N40" si="44">M37/L37</f>
        <v>#DIV/0!</v>
      </c>
      <c r="O37" s="2">
        <f>COUNTIFS(顧客データ!$F$4:$F$1048576,"&gt;=2022/7/1",顧客データ!$F$4:$F$1048576,"&lt;=2022/7/31",顧客データ!$Q$4:$Q$1048576,"=51~60",顧客データ!$J$4:$J$1048576,"&gt;=2022/7/1")</f>
        <v>5</v>
      </c>
      <c r="P37" s="2">
        <f>COUNTIFS(顧客データ!$F$4:$F$1048576,"&gt;=2022/7/1",顧客データ!$F$4:$F$1048576,"&lt;=2022/7/31",顧客データ!$Q$4:$Q$1048576,"=51~60",顧客データ!$D$4:$D$1048576,"=*成約*")</f>
        <v>2</v>
      </c>
      <c r="Q37" s="13">
        <f t="shared" ref="Q37:Q40" si="45">P37/O37</f>
        <v>0.4</v>
      </c>
      <c r="R37" s="2">
        <f>COUNTIFS(顧客データ!$F$4:$F$1048576,"&gt;=2022/8/1",顧客データ!$F$4:$F$1048576,"&lt;=2022/8/31",顧客データ!$Q$4:$Q$1048576,"=51~60",顧客データ!$J$4:$J$1048576,"&gt;=2022/8/1")</f>
        <v>0</v>
      </c>
      <c r="S37" s="2">
        <f>COUNTIFS(顧客データ!$F$4:$F$1048576,"&gt;=2022/8/1",顧客データ!$F$4:$F$1048576,"&lt;=2022/8/31",顧客データ!$Q$4:$Q$1048576,"=51~60",顧客データ!$D$4:$D$1048576,"=*成約*")</f>
        <v>0</v>
      </c>
      <c r="T37" s="13" t="e">
        <f t="shared" ref="T37:T40" si="46">S37/R37</f>
        <v>#DIV/0!</v>
      </c>
      <c r="U37" s="2">
        <f>COUNTIFS(顧客データ!$F$4:$F$1048576,"&gt;=2022/9/1",顧客データ!$F$4:$F$1048576,"&lt;=2022/9/30",顧客データ!$Q$4:$Q$1048576,"=51~60",顧客データ!$J$4:$J$1048576,"&gt;=2022/9/1")</f>
        <v>2</v>
      </c>
      <c r="V37" s="2">
        <f>COUNTIFS(顧客データ!$F$4:$F$1048576,"&gt;=2022/9/1",顧客データ!$F$4:$F$1048576,"&lt;=2022/9/30",顧客データ!$Q$4:$Q$1048576,"=51~60",顧客データ!$D$4:$D$1048576,"=*成約*")</f>
        <v>2</v>
      </c>
      <c r="W37" s="13">
        <f t="shared" ref="W37:W40" si="47">V37/U37</f>
        <v>1</v>
      </c>
      <c r="X37" s="2">
        <f>COUNTIFS(顧客データ!$F$4:$F$1048576,"&gt;=2022/10/1",顧客データ!$F$4:$F$1048576,"&lt;=2022/10/31",顧客データ!$Q$4:$Q$1048576,"=51~60",顧客データ!$J$4:$J$1048576,"&gt;=2022/10/1")</f>
        <v>2</v>
      </c>
      <c r="Y37" s="2">
        <f>COUNTIFS(顧客データ!$F$4:$F$1048576,"&gt;=2022/10/1",顧客データ!$F$4:$F$1048576,"&lt;=2022/10/31",顧客データ!$Q$4:$Q$1048576,"=51~60",顧客データ!$D$4:$D$1048576,"=*成約*")</f>
        <v>0</v>
      </c>
      <c r="Z37" s="13">
        <f t="shared" ref="Z37:Z40" si="48">Y37/X37</f>
        <v>0</v>
      </c>
      <c r="AA37" s="2">
        <f>COUNTIFS(顧客データ!$F$4:$F$1048576,"&gt;=2022/11/1",顧客データ!$F$4:$F$1048576,"&lt;=2022/11/30",顧客データ!$Q$4:$Q$1048576,"=51~60",顧客データ!$J$4:$J$1048576,"&gt;=2022/11/1")</f>
        <v>0</v>
      </c>
      <c r="AB37" s="2">
        <f>COUNTIFS(顧客データ!$F$4:$F$1048576,"&gt;=2022/11/1",顧客データ!$F$4:$F$1048576,"&lt;=2022/11/30",顧客データ!$Q$4:$Q$1048576,"=51~60",顧客データ!$D$4:$D$1048576,"=*成約*")</f>
        <v>0</v>
      </c>
      <c r="AC37" s="33" t="e">
        <f t="shared" ref="AC37:AC40" si="49">AB37/AA37</f>
        <v>#DIV/0!</v>
      </c>
      <c r="AD37" s="2">
        <f>COUNTIFS(顧客データ!$F$4:$F$1048576,"&gt;=2022/12/1",顧客データ!$F$4:$F$1048576,"&lt;=2022/12/31",顧客データ!$Q$4:$Q$1048576,"=51~60",顧客データ!$J$4:$J$1048576,"&gt;=2022/12/1")</f>
        <v>0</v>
      </c>
      <c r="AE37" s="2">
        <f>COUNTIFS(顧客データ!$F$4:$F$1048576,"&gt;=2022/12/1",顧客データ!$F$4:$F$1048576,"&lt;=2022/12/31",顧客データ!$Q$4:$Q$1048576,"=51~60",顧客データ!$D$4:$D$1048576,"=*成約*")</f>
        <v>0</v>
      </c>
      <c r="AF37" s="34" t="e">
        <f t="shared" si="35"/>
        <v>#DIV/0!</v>
      </c>
      <c r="AG37" s="2">
        <f>COUNTIFS(顧客データ!$F$4:$F$1048576,"&gt;=2023/1/1",顧客データ!$F$4:$F$1048576,"&lt;=2023/1/31",顧客データ!$Q$4:$Q$1048576,"=51~60",顧客データ!$J$4:$J$1048576,"&gt;=2023/1/1")</f>
        <v>1</v>
      </c>
      <c r="AH37" s="2">
        <f>COUNTIFS(顧客データ!$F$4:$F$1048576,"&gt;=2023/1/1",顧客データ!$F$4:$F$1048576,"&lt;=2023/1/31",顧客データ!$Q$4:$Q$1048576,"=51~60",顧客データ!$D$4:$D$1048576,"=*成約*")</f>
        <v>0</v>
      </c>
      <c r="AI37" s="34">
        <f t="shared" ref="AI37:AI40" si="50">AH37/AG37</f>
        <v>0</v>
      </c>
      <c r="AJ37" s="2">
        <f>COUNTIFS(顧客データ!$F$4:$F$1048576,"&gt;=2023/2/1",顧客データ!$F$4:$F$1048576,"&lt;=2023/2/28",顧客データ!$Q$4:$Q$1048576,"=51~60",顧客データ!$J$4:$J$1048576,"&gt;=2023/2/1")</f>
        <v>0</v>
      </c>
      <c r="AK37" s="2">
        <f>COUNTIFS(顧客データ!$F$4:$F$1048576,"&gt;=2023/2/1",顧客データ!$F$4:$F$1048576,"&lt;=2023/2/28",顧客データ!$Q$4:$Q$1048576,"=51~60",顧客データ!$D$4:$D$1048576,"=*成約*")</f>
        <v>0</v>
      </c>
      <c r="AL37" s="34" t="e">
        <f t="shared" ref="AL37:AL40" si="51">AK37/AJ37</f>
        <v>#DIV/0!</v>
      </c>
      <c r="AM37" s="6">
        <f t="shared" si="38"/>
        <v>12</v>
      </c>
      <c r="AN37" s="6">
        <f t="shared" si="39"/>
        <v>5</v>
      </c>
      <c r="AO37" s="34">
        <f t="shared" si="40"/>
        <v>0.41666666666666669</v>
      </c>
    </row>
    <row r="38" spans="2:41" x14ac:dyDescent="0.5">
      <c r="B38" t="s">
        <v>86</v>
      </c>
      <c r="C38" s="2">
        <f>COUNTIFS(顧客データ!$F$4:$F$1048576,"&gt;=2022/3/1",顧客データ!$F$4:$F$1048576,"&lt;=2022/3/31",顧客データ!$Q$4:$Q$1048576,"=61~70",顧客データ!$J$4:$J$1048576,"&gt;=2022/3/1")</f>
        <v>1</v>
      </c>
      <c r="D38" s="2">
        <f>COUNTIFS(顧客データ!$F$4:$F$1048576,"&gt;=2022/3/1",顧客データ!$F$4:$F$1048576,"&lt;=2022/3/31",顧客データ!$Q$4:$Q$1048576,"=61~70",顧客データ!$D$4:$D$1048576,"=*成約*")</f>
        <v>0</v>
      </c>
      <c r="E38" s="13">
        <f t="shared" si="41"/>
        <v>0</v>
      </c>
      <c r="F38" s="2">
        <f>COUNTIFS(顧客データ!$F$4:$F$1048576,"&gt;=2022/4/1",顧客データ!$F$4:$F$1048576,"&lt;=2022/4/30",顧客データ!$Q$4:$Q$1048576,"=61~70",顧客データ!$J$4:$J$1048576,"&gt;=2022/4/1")</f>
        <v>1</v>
      </c>
      <c r="G38" s="2">
        <f>COUNTIFS(顧客データ!$F$4:$F$1048576,"&gt;=2022/4/1",顧客データ!$F$4:$F$1048576,"&lt;=2022/4/30",顧客データ!$Q$4:$Q$1048576,"=61~70",顧客データ!$D$4:$D$1048576,"=*成約*")</f>
        <v>0</v>
      </c>
      <c r="H38" s="13">
        <f t="shared" si="42"/>
        <v>0</v>
      </c>
      <c r="I38" s="2">
        <f>COUNTIFS(顧客データ!$F$4:$F$1048576,"&gt;=2022/5/1",顧客データ!$F$4:$F$1048576,"&lt;=2022/5/31",顧客データ!$Q$4:$Q$1048576,"=61~70",顧客データ!$J$4:$J$1048576,"&gt;=2022/5/1")</f>
        <v>0</v>
      </c>
      <c r="J38" s="2">
        <f>COUNTIFS(顧客データ!$F$4:$F$1048576,"&gt;=2022/5/1",顧客データ!$F$4:$F$1048576,"&lt;=2022/5/31",顧客データ!$Q$4:$Q$1048576,"=61~70",顧客データ!$D$4:$D$1048576,"=*成約*")</f>
        <v>0</v>
      </c>
      <c r="K38" s="13" t="e">
        <f t="shared" si="43"/>
        <v>#DIV/0!</v>
      </c>
      <c r="L38" s="2">
        <f>COUNTIFS(顧客データ!$F$4:$F$1048576,"&gt;=2022/6/1",顧客データ!$F$4:$F$1048576,"&lt;=2022/6/30",顧客データ!$Q$4:$Q$1048576,"=61~70",顧客データ!$J$4:$J$1048576,"&gt;=2022/6/1")</f>
        <v>0</v>
      </c>
      <c r="M38" s="2">
        <f>COUNTIFS(顧客データ!$F$4:$F$1048576,"&gt;=2022/6/1",顧客データ!$F$4:$F$1048576,"&lt;=2022/6/30",顧客データ!$Q$4:$Q$1048576,"=61~70",顧客データ!$D$4:$D$1048576,"=*成約*")</f>
        <v>0</v>
      </c>
      <c r="N38" s="13" t="e">
        <f t="shared" si="44"/>
        <v>#DIV/0!</v>
      </c>
      <c r="O38" s="2">
        <f>COUNTIFS(顧客データ!$F$4:$F$1048576,"&gt;=2022/7/1",顧客データ!$F$4:$F$1048576,"&lt;=2022/7/31",顧客データ!$Q$4:$Q$1048576,"=61~70",顧客データ!$J$4:$J$1048576,"&gt;=2022/7/1")</f>
        <v>0</v>
      </c>
      <c r="P38" s="2">
        <f>COUNTIFS(顧客データ!$F$4:$F$1048576,"&gt;=2022/7/1",顧客データ!$F$4:$F$1048576,"&lt;=2022/7/31",顧客データ!$Q$4:$Q$1048576,"=61~70",顧客データ!$D$4:$D$1048576,"=*成約*")</f>
        <v>0</v>
      </c>
      <c r="Q38" s="13" t="e">
        <f t="shared" si="45"/>
        <v>#DIV/0!</v>
      </c>
      <c r="R38" s="2">
        <f>COUNTIFS(顧客データ!$F$4:$F$1048576,"&gt;=2022/8/1",顧客データ!$F$4:$F$1048576,"&lt;=2022/8/31",顧客データ!$Q$4:$Q$1048576,"=61~70",顧客データ!$J$4:$J$1048576,"&gt;=2022/8/1")</f>
        <v>0</v>
      </c>
      <c r="S38" s="2">
        <f>COUNTIFS(顧客データ!$F$4:$F$1048576,"&gt;=2022/8/1",顧客データ!$F$4:$F$1048576,"&lt;=2022/8/31",顧客データ!$Q$4:$Q$1048576,"=61~70",顧客データ!$D$4:$D$1048576,"=*成約*")</f>
        <v>0</v>
      </c>
      <c r="T38" s="13" t="e">
        <f t="shared" si="46"/>
        <v>#DIV/0!</v>
      </c>
      <c r="U38" s="2">
        <f>COUNTIFS(顧客データ!$F$4:$F$1048576,"&gt;=2022/9/1",顧客データ!$F$4:$F$1048576,"&lt;=2022/9/30",顧客データ!$Q$4:$Q$1048576,"=61~70",顧客データ!$J$4:$J$1048576,"&gt;=2022/9/1")</f>
        <v>2</v>
      </c>
      <c r="V38" s="2">
        <f>COUNTIFS(顧客データ!$F$4:$F$1048576,"&gt;=2022/9/1",顧客データ!$F$4:$F$1048576,"&lt;=2022/9/30",顧客データ!$Q$4:$Q$1048576,"=61~70",顧客データ!$D$4:$D$1048576,"=*成約*")</f>
        <v>0</v>
      </c>
      <c r="W38" s="13">
        <f t="shared" si="47"/>
        <v>0</v>
      </c>
      <c r="X38" s="2">
        <f>COUNTIFS(顧客データ!$F$4:$F$1048576,"&gt;=2022/10/1",顧客データ!$F$4:$F$1048576,"&lt;=2022/10/31",顧客データ!$Q$4:$Q$1048576,"=61~70",顧客データ!$J$4:$J$1048576,"&gt;=2022/10/1")</f>
        <v>1</v>
      </c>
      <c r="Y38" s="2">
        <f>COUNTIFS(顧客データ!$F$4:$F$1048576,"&gt;=2022/10/1",顧客データ!$F$4:$F$1048576,"&lt;=2022/10/31",顧客データ!$Q$4:$Q$1048576,"=61~70",顧客データ!$D$4:$D$1048576,"=*成約*")</f>
        <v>1</v>
      </c>
      <c r="Z38" s="13">
        <f t="shared" si="48"/>
        <v>1</v>
      </c>
      <c r="AA38" s="2">
        <f>COUNTIFS(顧客データ!$F$4:$F$1048576,"&gt;=2022/11/1",顧客データ!$F$4:$F$1048576,"&lt;=2022/11/30",顧客データ!$Q$4:$Q$1048576,"=61~70",顧客データ!$J$4:$J$1048576,"&gt;=2022/11/1")</f>
        <v>2</v>
      </c>
      <c r="AB38" s="2">
        <f>COUNTIFS(顧客データ!$F$4:$F$1048576,"&gt;=2022/11/1",顧客データ!$F$4:$F$1048576,"&lt;=2022/11/30",顧客データ!$Q$4:$Q$1048576,"=61~70",顧客データ!$D$4:$D$1048576,"=*成約*")</f>
        <v>1</v>
      </c>
      <c r="AC38" s="33">
        <f t="shared" si="49"/>
        <v>0.5</v>
      </c>
      <c r="AD38" s="2">
        <f>COUNTIFS(顧客データ!$F$4:$F$1048576,"&gt;=2022/12/1",顧客データ!$F$4:$F$1048576,"&lt;=2022/12/31",顧客データ!$Q$4:$Q$1048576,"=61~70",顧客データ!$J$4:$J$1048576,"&gt;=2022/12/1")</f>
        <v>0</v>
      </c>
      <c r="AE38" s="2">
        <f>COUNTIFS(顧客データ!$F$4:$F$1048576,"&gt;=2022/12/1",顧客データ!$F$4:$F$1048576,"&lt;=2022/12/31",顧客データ!$Q$4:$Q$1048576,"=61~70",顧客データ!$D$4:$D$1048576,"=*成約*")</f>
        <v>0</v>
      </c>
      <c r="AF38" s="34" t="e">
        <f t="shared" si="35"/>
        <v>#DIV/0!</v>
      </c>
      <c r="AG38" s="2">
        <f>COUNTIFS(顧客データ!$F$4:$F$1048576,"&gt;=2023/1/1",顧客データ!$F$4:$F$1048576,"&lt;=2023/1/31",顧客データ!$Q$4:$Q$1048576,"=61~70",顧客データ!$J$4:$J$1048576,"&gt;=2023/1/1")</f>
        <v>0</v>
      </c>
      <c r="AH38" s="2">
        <f>COUNTIFS(顧客データ!$F$4:$F$1048576,"&gt;=2023/1/1",顧客データ!$F$4:$F$1048576,"&lt;=2023/1/31",顧客データ!$Q$4:$Q$1048576,"=61~70",顧客データ!$D$4:$D$1048576,"=*成約*")</f>
        <v>0</v>
      </c>
      <c r="AI38" s="34" t="e">
        <f t="shared" si="50"/>
        <v>#DIV/0!</v>
      </c>
      <c r="AJ38" s="2">
        <f>COUNTIFS(顧客データ!$F$4:$F$1048576,"&gt;=2023/2/1",顧客データ!$F$4:$F$1048576,"&lt;=2023/2/28",顧客データ!$Q$4:$Q$1048576,"=61~70",顧客データ!$J$4:$J$1048576,"&gt;=2023/2/1")</f>
        <v>0</v>
      </c>
      <c r="AK38" s="2">
        <f>COUNTIFS(顧客データ!$F$4:$F$1048576,"&gt;=2023/2/1",顧客データ!$F$4:$F$1048576,"&lt;=2023/2/28",顧客データ!$Q$4:$Q$1048576,"=61~70",顧客データ!$D$4:$D$1048576,"=*成約*")</f>
        <v>0</v>
      </c>
      <c r="AL38" s="34" t="e">
        <f t="shared" si="51"/>
        <v>#DIV/0!</v>
      </c>
      <c r="AM38" s="6">
        <f t="shared" si="38"/>
        <v>7</v>
      </c>
      <c r="AN38" s="6">
        <f t="shared" si="39"/>
        <v>2</v>
      </c>
      <c r="AO38" s="34">
        <f t="shared" si="40"/>
        <v>0.2857142857142857</v>
      </c>
    </row>
    <row r="39" spans="2:41" x14ac:dyDescent="0.5">
      <c r="B39" t="s">
        <v>87</v>
      </c>
      <c r="C39" s="2">
        <f>COUNTIFS(顧客データ!$F$4:$F$1048576,"&gt;=2022/3/1",顧客データ!$F$4:$F$1048576,"&lt;=2022/3/31",顧客データ!$Q$4:$Q$1048576,"=71~80",顧客データ!$J$4:$J$1048576,"&gt;=2022/3/1")</f>
        <v>0</v>
      </c>
      <c r="D39" s="2">
        <f>COUNTIFS(顧客データ!$F$4:$F$1048576,"&gt;=2022/3/1",顧客データ!$F$4:$F$1048576,"&lt;=2022/3/31",顧客データ!$Q$4:$Q$1048576,"=71~80",顧客データ!$D$4:$D$1048576,"=*成約*")</f>
        <v>0</v>
      </c>
      <c r="E39" s="13" t="e">
        <f t="shared" si="41"/>
        <v>#DIV/0!</v>
      </c>
      <c r="F39" s="2">
        <f>COUNTIFS(顧客データ!$F$4:$F$1048576,"&gt;=2022/4/1",顧客データ!$F$4:$F$1048576,"&lt;=2022/4/30",顧客データ!$Q$4:$Q$1048576,"=71~80",顧客データ!$J$4:$J$1048576,"&gt;=2022/4/1")</f>
        <v>1</v>
      </c>
      <c r="G39" s="2">
        <f>COUNTIFS(顧客データ!$F$4:$F$1048576,"&gt;=2022/4/1",顧客データ!$F$4:$F$1048576,"&lt;=2022/4/30",顧客データ!$Q$4:$Q$1048576,"=71~80",顧客データ!$D$4:$D$1048576,"=*成約*")</f>
        <v>0</v>
      </c>
      <c r="H39" s="13">
        <f t="shared" si="42"/>
        <v>0</v>
      </c>
      <c r="I39" s="2">
        <f>COUNTIFS(顧客データ!$F$4:$F$1048576,"&gt;=2022/5/1",顧客データ!$F$4:$F$1048576,"&lt;=2022/5/31",顧客データ!$Q$4:$Q$1048576,"=71~80",顧客データ!$J$4:$J$1048576,"&gt;=2022/5/1")</f>
        <v>0</v>
      </c>
      <c r="J39" s="2">
        <f>COUNTIFS(顧客データ!$F$4:$F$1048576,"&gt;=2022/5/1",顧客データ!$F$4:$F$1048576,"&lt;=2022/5/31",顧客データ!$Q$4:$Q$1048576,"=71~80",顧客データ!$D$4:$D$1048576,"=*成約*")</f>
        <v>0</v>
      </c>
      <c r="K39" s="13" t="e">
        <f t="shared" si="43"/>
        <v>#DIV/0!</v>
      </c>
      <c r="L39" s="2">
        <f>COUNTIFS(顧客データ!$F$4:$F$1048576,"&gt;=2022/6/1",顧客データ!$F$4:$F$1048576,"&lt;=2022/6/30",顧客データ!$Q$4:$Q$1048576,"=71~80",顧客データ!$J$4:$J$1048576,"&gt;=2022/6/1")</f>
        <v>0</v>
      </c>
      <c r="M39" s="2">
        <f>COUNTIFS(顧客データ!$F$4:$F$1048576,"&gt;=2022/6/1",顧客データ!$F$4:$F$1048576,"&lt;=2022/6/30",顧客データ!$Q$4:$Q$1048576,"=71~80",顧客データ!$D$4:$D$1048576,"=*成約*")</f>
        <v>0</v>
      </c>
      <c r="N39" s="13" t="e">
        <f t="shared" si="44"/>
        <v>#DIV/0!</v>
      </c>
      <c r="O39" s="2">
        <f>COUNTIFS(顧客データ!$F$4:$F$1048576,"&gt;=2022/7/1",顧客データ!$F$4:$F$1048576,"&lt;=2022/7/31",顧客データ!$Q$4:$Q$1048576,"=71~80",顧客データ!$J$4:$J$1048576,"&gt;=2022/7/1")</f>
        <v>0</v>
      </c>
      <c r="P39" s="2">
        <f>COUNTIFS(顧客データ!$F$4:$F$1048576,"&gt;=2022/7/1",顧客データ!$F$4:$F$1048576,"&lt;=2022/7/31",顧客データ!$Q$4:$Q$1048576,"=71~80",顧客データ!$D$4:$D$1048576,"=*成約*")</f>
        <v>0</v>
      </c>
      <c r="Q39" s="13" t="e">
        <f t="shared" si="45"/>
        <v>#DIV/0!</v>
      </c>
      <c r="R39" s="2">
        <f>COUNTIFS(顧客データ!$F$4:$F$1048576,"&gt;=2022/8/1",顧客データ!$F$4:$F$1048576,"&lt;=2022/8/31",顧客データ!$Q$4:$Q$1048576,"=71~80",顧客データ!$J$4:$J$1048576,"&gt;=2022/8/1")</f>
        <v>0</v>
      </c>
      <c r="S39" s="2">
        <f>COUNTIFS(顧客データ!$F$4:$F$1048576,"&gt;=2022/8/1",顧客データ!$F$4:$F$1048576,"&lt;=2022/8/31",顧客データ!$Q$4:$Q$1048576,"=71~80",顧客データ!$D$4:$D$1048576,"=*成約*")</f>
        <v>0</v>
      </c>
      <c r="T39" s="13" t="e">
        <f t="shared" si="46"/>
        <v>#DIV/0!</v>
      </c>
      <c r="U39" s="2">
        <f>COUNTIFS(顧客データ!$F$4:$F$1048576,"&gt;=2022/9/1",顧客データ!$F$4:$F$1048576,"&lt;=2022/9/30",顧客データ!$Q$4:$Q$1048576,"=71~80",顧客データ!$J$4:$J$1048576,"&gt;=2022/9/1")</f>
        <v>1</v>
      </c>
      <c r="V39" s="2">
        <f>COUNTIFS(顧客データ!$F$4:$F$1048576,"&gt;=2022/9/1",顧客データ!$F$4:$F$1048576,"&lt;=2022/9/30",顧客データ!$Q$4:$Q$1048576,"=71~80",顧客データ!$D$4:$D$1048576,"=*成約*")</f>
        <v>1</v>
      </c>
      <c r="W39" s="13">
        <f t="shared" si="47"/>
        <v>1</v>
      </c>
      <c r="X39" s="2">
        <f>COUNTIFS(顧客データ!$F$4:$F$1048576,"&gt;=2022/10/1",顧客データ!$F$4:$F$1048576,"&lt;=2022/10/31",顧客データ!$Q$4:$Q$1048576,"=71~80",顧客データ!$J$4:$J$1048576,"&gt;=2022/10/1")</f>
        <v>0</v>
      </c>
      <c r="Y39" s="2">
        <f>COUNTIFS(顧客データ!$F$4:$F$1048576,"&gt;=2022/10/1",顧客データ!$F$4:$F$1048576,"&lt;=2022/10/31",顧客データ!$Q$4:$Q$1048576,"=71~80",顧客データ!$D$4:$D$1048576,"=*成約*")</f>
        <v>0</v>
      </c>
      <c r="Z39" s="13" t="e">
        <f t="shared" si="48"/>
        <v>#DIV/0!</v>
      </c>
      <c r="AA39" s="2">
        <f>COUNTIFS(顧客データ!$F$4:$F$1048576,"&gt;=2022/11/1",顧客データ!$F$4:$F$1048576,"&lt;=2022/11/30",顧客データ!$Q$4:$Q$1048576,"=71~80",顧客データ!$J$4:$J$1048576,"&gt;=2022/11/1")</f>
        <v>1</v>
      </c>
      <c r="AB39" s="2">
        <f>COUNTIFS(顧客データ!$F$4:$F$1048576,"&gt;=2022/11/1",顧客データ!$F$4:$F$1048576,"&lt;=2022/11/30",顧客データ!$Q$4:$Q$1048576,"=71~80",顧客データ!$D$4:$D$1048576,"=*成約*")</f>
        <v>1</v>
      </c>
      <c r="AC39" s="33">
        <f t="shared" si="49"/>
        <v>1</v>
      </c>
      <c r="AD39" s="2">
        <f>COUNTIFS(顧客データ!$F$4:$F$1048576,"&gt;=2022/12/1",顧客データ!$F$4:$F$1048576,"&lt;=2022/12/31",顧客データ!$Q$4:$Q$1048576,"=71~80",顧客データ!$J$4:$J$1048576,"&gt;=2022/12/1")</f>
        <v>1</v>
      </c>
      <c r="AE39" s="2">
        <f>COUNTIFS(顧客データ!$F$4:$F$1048576,"&gt;=2022/12/1",顧客データ!$F$4:$F$1048576,"&lt;=2022/12/31",顧客データ!$Q$4:$Q$1048576,"=71~80",顧客データ!$D$4:$D$1048576,"=*成約*")</f>
        <v>0</v>
      </c>
      <c r="AF39" s="34">
        <f t="shared" si="35"/>
        <v>0</v>
      </c>
      <c r="AG39" s="2">
        <f>COUNTIFS(顧客データ!$F$4:$F$1048576,"&gt;=2023/1/1",顧客データ!$F$4:$F$1048576,"&lt;=2023/1/31",顧客データ!$Q$4:$Q$1048576,"=71~80",顧客データ!$J$4:$J$1048576,"&gt;=2023/1/1")</f>
        <v>1</v>
      </c>
      <c r="AH39" s="2">
        <f>COUNTIFS(顧客データ!$F$4:$F$1048576,"&gt;=2023/1/1",顧客データ!$F$4:$F$1048576,"&lt;=2023/1/31",顧客データ!$Q$4:$Q$1048576,"=71~80",顧客データ!$D$4:$D$1048576,"=*成約*")</f>
        <v>0</v>
      </c>
      <c r="AI39" s="34">
        <f t="shared" si="50"/>
        <v>0</v>
      </c>
      <c r="AJ39" s="2">
        <f>COUNTIFS(顧客データ!$F$4:$F$1048576,"&gt;=2023/2/1",顧客データ!$F$4:$F$1048576,"&lt;=2023/2/28",顧客データ!$Q$4:$Q$1048576,"=71~80",顧客データ!$J$4:$J$1048576,"&gt;=2023/2/1")</f>
        <v>0</v>
      </c>
      <c r="AK39" s="2">
        <f>COUNTIFS(顧客データ!$F$4:$F$1048576,"&gt;=2023/2/1",顧客データ!$F$4:$F$1048576,"&lt;=2023/2/28",顧客データ!$Q$4:$Q$1048576,"=71~80",顧客データ!$D$4:$D$1048576,"=*成約*")</f>
        <v>0</v>
      </c>
      <c r="AL39" s="34" t="e">
        <f t="shared" si="51"/>
        <v>#DIV/0!</v>
      </c>
      <c r="AM39" s="6">
        <f t="shared" si="38"/>
        <v>5</v>
      </c>
      <c r="AN39" s="6">
        <f t="shared" si="39"/>
        <v>2</v>
      </c>
      <c r="AO39" s="34">
        <f t="shared" si="40"/>
        <v>0.4</v>
      </c>
    </row>
    <row r="40" spans="2:41" x14ac:dyDescent="0.5">
      <c r="B40" t="s">
        <v>88</v>
      </c>
      <c r="C40" s="2">
        <f>COUNTIFS(顧客データ!$F$4:$F$1048576,"&gt;=2022/3/1",顧客データ!$F$4:$F$1048576,"&lt;=2022/3/31",顧客データ!$Q$4:$Q$1048576,"=81~90",顧客データ!$J$4:$J$1048576,"&gt;=2022/3/1")</f>
        <v>0</v>
      </c>
      <c r="D40" s="2">
        <f>COUNTIFS(顧客データ!$F$4:$F$1048576,"&gt;=2022/3/1",顧客データ!$F$4:$F$1048576,"&lt;=2022/3/31",顧客データ!$Q$4:$Q$1048576,"=81~90",顧客データ!$D$4:$D$1048576,"=*成約*")</f>
        <v>0</v>
      </c>
      <c r="E40" s="13" t="e">
        <f t="shared" si="41"/>
        <v>#DIV/0!</v>
      </c>
      <c r="F40" s="2">
        <f>COUNTIFS(顧客データ!$F$4:$F$1048576,"&gt;=2022/4/1",顧客データ!$F$4:$F$1048576,"&lt;=2022/4/30",顧客データ!$Q$4:$Q$1048576,"=81~90",顧客データ!$J$4:$J$1048576,"&gt;=2022/4/1")</f>
        <v>0</v>
      </c>
      <c r="G40" s="2">
        <f>COUNTIFS(顧客データ!$F$4:$F$1048576,"&gt;=2022/4/1",顧客データ!$F$4:$F$1048576,"&lt;=2022/4/30",顧客データ!$Q$4:$Q$1048576,"=81~90",顧客データ!$D$4:$D$1048576,"=*成約*")</f>
        <v>0</v>
      </c>
      <c r="H40" s="13" t="e">
        <f t="shared" si="42"/>
        <v>#DIV/0!</v>
      </c>
      <c r="I40" s="2">
        <f>COUNTIFS(顧客データ!$F$4:$F$1048576,"&gt;=2022/5/1",顧客データ!$F$4:$F$1048576,"&lt;=2022/5/31",顧客データ!$Q$4:$Q$1048576,"=81~90",顧客データ!$J$4:$J$1048576,"&gt;=2022/5/1")</f>
        <v>0</v>
      </c>
      <c r="J40" s="2">
        <f>COUNTIFS(顧客データ!$F$4:$F$1048576,"&gt;=2022/5/1",顧客データ!$F$4:$F$1048576,"&lt;=2022/5/31",顧客データ!$Q$4:$Q$1048576,"=81~90",顧客データ!$D$4:$D$1048576,"=*成約*")</f>
        <v>0</v>
      </c>
      <c r="K40" s="13" t="e">
        <f t="shared" si="43"/>
        <v>#DIV/0!</v>
      </c>
      <c r="L40" s="2">
        <f>COUNTIFS(顧客データ!$F$4:$F$1048576,"&gt;=2022/6/1",顧客データ!$F$4:$F$1048576,"&lt;=2022/6/30",顧客データ!$Q$4:$Q$1048576,"=81~90",顧客データ!$J$4:$J$1048576,"&gt;=2022/6/1")</f>
        <v>0</v>
      </c>
      <c r="M40" s="2">
        <f>COUNTIFS(顧客データ!$F$4:$F$1048576,"&gt;=2022/6/1",顧客データ!$F$4:$F$1048576,"&lt;=2022/6/30",顧客データ!$Q$4:$Q$1048576,"=81~90",顧客データ!$D$4:$D$1048576,"=*成約*")</f>
        <v>0</v>
      </c>
      <c r="N40" s="13" t="e">
        <f t="shared" si="44"/>
        <v>#DIV/0!</v>
      </c>
      <c r="O40" s="2">
        <f>COUNTIFS(顧客データ!$F$4:$F$1048576,"&gt;=2022/7/1",顧客データ!$F$4:$F$1048576,"&lt;=2022/7/31",顧客データ!$Q$4:$Q$1048576,"=81~90",顧客データ!$J$4:$J$1048576,"&gt;=2022/7/1")</f>
        <v>0</v>
      </c>
      <c r="P40" s="2">
        <f>COUNTIFS(顧客データ!$F$4:$F$1048576,"&gt;=2022/7/1",顧客データ!$F$4:$F$1048576,"&lt;=2022/7/31",顧客データ!$Q$4:$Q$1048576,"=81~90",顧客データ!$D$4:$D$1048576,"=*成約*")</f>
        <v>0</v>
      </c>
      <c r="Q40" s="13" t="e">
        <f t="shared" si="45"/>
        <v>#DIV/0!</v>
      </c>
      <c r="R40" s="2">
        <f>COUNTIFS(顧客データ!$F$4:$F$1048576,"&gt;=2022/8/1",顧客データ!$F$4:$F$1048576,"&lt;=2022/8/31",顧客データ!$Q$4:$Q$1048576,"=81~90",顧客データ!$J$4:$J$1048576,"&gt;=2022/8/1")</f>
        <v>0</v>
      </c>
      <c r="S40" s="2">
        <f>COUNTIFS(顧客データ!$F$4:$F$1048576,"&gt;=2022/8/1",顧客データ!$F$4:$F$1048576,"&lt;=2022/8/31",顧客データ!$Q$4:$Q$1048576,"=81~90",顧客データ!$D$4:$D$1048576,"=*成約*")</f>
        <v>0</v>
      </c>
      <c r="T40" s="13" t="e">
        <f t="shared" si="46"/>
        <v>#DIV/0!</v>
      </c>
      <c r="U40" s="2">
        <f>COUNTIFS(顧客データ!$F$4:$F$1048576,"&gt;=2022/9/1",顧客データ!$F$4:$F$1048576,"&lt;=2022/9/30",顧客データ!$Q$4:$Q$1048576,"=81~90",顧客データ!$J$4:$J$1048576,"&gt;=2022/9/1")</f>
        <v>0</v>
      </c>
      <c r="V40" s="2">
        <f>COUNTIFS(顧客データ!$F$4:$F$1048576,"&gt;=2022/9/1",顧客データ!$F$4:$F$1048576,"&lt;=2022/9/30",顧客データ!$Q$4:$Q$1048576,"=81~90",顧客データ!$D$4:$D$1048576,"=*成約*")</f>
        <v>0</v>
      </c>
      <c r="W40" s="13" t="e">
        <f t="shared" si="47"/>
        <v>#DIV/0!</v>
      </c>
      <c r="X40" s="2">
        <f>COUNTIFS(顧客データ!$F$4:$F$1048576,"&gt;=2022/10/1",顧客データ!$F$4:$F$1048576,"&lt;=2022/10/31",顧客データ!$Q$4:$Q$1048576,"=81~90",顧客データ!$J$4:$J$1048576,"&gt;=2022/10/1")</f>
        <v>0</v>
      </c>
      <c r="Y40" s="2">
        <f>COUNTIFS(顧客データ!$F$4:$F$1048576,"&gt;=2022/10/1",顧客データ!$F$4:$F$1048576,"&lt;=2022/10/31",顧客データ!$Q$4:$Q$1048576,"=81~90",顧客データ!$D$4:$D$1048576,"=*成約*")</f>
        <v>0</v>
      </c>
      <c r="Z40" s="13" t="e">
        <f t="shared" si="48"/>
        <v>#DIV/0!</v>
      </c>
      <c r="AA40" s="2">
        <f>COUNTIFS(顧客データ!$F$4:$F$1048576,"&gt;=2022/11/1",顧客データ!$F$4:$F$1048576,"&lt;=2022/11/30",顧客データ!$Q$4:$Q$1048576,"=81~90",顧客データ!$J$4:$J$1048576,"&gt;=2022/11/1")</f>
        <v>0</v>
      </c>
      <c r="AB40" s="2">
        <f>COUNTIFS(顧客データ!$F$4:$F$1048576,"&gt;=2022/11/1",顧客データ!$F$4:$F$1048576,"&lt;=2022/11/30",顧客データ!$Q$4:$Q$1048576,"=81~90",顧客データ!$D$4:$D$1048576,"=*成約*")</f>
        <v>0</v>
      </c>
      <c r="AC40" s="33" t="e">
        <f t="shared" si="49"/>
        <v>#DIV/0!</v>
      </c>
      <c r="AD40" s="2">
        <f>COUNTIFS(顧客データ!$F$4:$F$1048576,"&gt;=2022/12/1",顧客データ!$F$4:$F$1048576,"&lt;=2022/12/31",顧客データ!$Q$4:$Q$1048576,"=81~90",顧客データ!$J$4:$J$1048576,"&gt;=2022/12/1")</f>
        <v>0</v>
      </c>
      <c r="AE40" s="2">
        <f>COUNTIFS(顧客データ!$F$4:$F$1048576,"&gt;=2022/12/1",顧客データ!$F$4:$F$1048576,"&lt;=2022/12/31",顧客データ!$Q$4:$Q$1048576,"=81~90",顧客データ!$D$4:$D$1048576,"=*成約*")</f>
        <v>0</v>
      </c>
      <c r="AF40" s="34" t="e">
        <f t="shared" si="35"/>
        <v>#DIV/0!</v>
      </c>
      <c r="AG40" s="2">
        <f>COUNTIFS(顧客データ!$F$4:$F$1048576,"&gt;=2023/1/1",顧客データ!$F$4:$F$1048576,"&lt;=2023/1/31",顧客データ!$Q$4:$Q$1048576,"=81~90",顧客データ!$J$4:$J$1048576,"&gt;=2023/1/1")</f>
        <v>0</v>
      </c>
      <c r="AH40" s="2">
        <f>COUNTIFS(顧客データ!$F$4:$F$1048576,"&gt;=2023/1/1",顧客データ!$F$4:$F$1048576,"&lt;=2023/1/31",顧客データ!$Q$4:$Q$1048576,"=81~90",顧客データ!$D$4:$D$1048576,"=*成約*")</f>
        <v>0</v>
      </c>
      <c r="AI40" s="34" t="e">
        <f t="shared" si="50"/>
        <v>#DIV/0!</v>
      </c>
      <c r="AJ40" s="2">
        <f>COUNTIFS(顧客データ!$F$4:$F$1048576,"&gt;=2023/2/1",顧客データ!$F$4:$F$1048576,"&lt;=2023/2/28",顧客データ!$Q$4:$Q$1048576,"=81~90",顧客データ!$J$4:$J$1048576,"&gt;=2023/2/1")</f>
        <v>0</v>
      </c>
      <c r="AK40" s="2">
        <f>COUNTIFS(顧客データ!$F$4:$F$1048576,"&gt;=2023/2/1",顧客データ!$F$4:$F$1048576,"&lt;=2023/2/28",顧客データ!$Q$4:$Q$1048576,"=81~90",顧客データ!$D$4:$D$1048576,"=*成約*")</f>
        <v>0</v>
      </c>
      <c r="AL40" s="34" t="e">
        <f t="shared" si="51"/>
        <v>#DIV/0!</v>
      </c>
      <c r="AM40" s="6">
        <f t="shared" si="38"/>
        <v>0</v>
      </c>
      <c r="AN40" s="6">
        <f t="shared" si="39"/>
        <v>0</v>
      </c>
      <c r="AO40" s="34" t="e">
        <f t="shared" si="40"/>
        <v>#DIV/0!</v>
      </c>
    </row>
    <row r="41" spans="2:41" x14ac:dyDescent="0.5">
      <c r="B41" t="s">
        <v>89</v>
      </c>
      <c r="C41" s="2">
        <f>COUNTIFS(顧客データ!$F$4:$F$1048576,"&gt;=2022/3/1",顧客データ!$F$4:$F$1048576,"&lt;=2022/3/31",顧客データ!$Q$4:$Q$1048576,"=91~100",顧客データ!$J$4:$J$1048576,"&gt;=2022/3/1")</f>
        <v>0</v>
      </c>
      <c r="D41" s="2">
        <f>COUNTIFS(顧客データ!$F$4:$F$1048576,"&gt;=2022/3/1",顧客データ!$F$4:$F$1048576,"&lt;=2022/3/31",顧客データ!$Q$4:$Q$1048576,"=91~100",顧客データ!$D$4:$D$1048576,"=*成約*")</f>
        <v>0</v>
      </c>
      <c r="E41" s="13" t="e">
        <f>D91/C91</f>
        <v>#DIV/0!</v>
      </c>
      <c r="F41" s="2">
        <f>COUNTIFS(顧客データ!$F$4:$F$1048576,"&gt;=2022/4/1",顧客データ!$F$4:$F$1048576,"&lt;=2022/4/30",顧客データ!$Q$4:$Q$1048576,"=91~100",顧客データ!$J$4:$J$1048576,"&gt;=2022/4/1")</f>
        <v>0</v>
      </c>
      <c r="G41" s="2">
        <f>COUNTIFS(顧客データ!$F$4:$F$1048576,"&gt;=2022/4/1",顧客データ!$F$4:$F$1048576,"&lt;=2022/4/30",顧客データ!$Q$4:$Q$1048576,"=91~100",顧客データ!$D$4:$D$1048576,"=*成約*")</f>
        <v>0</v>
      </c>
      <c r="H41" s="13" t="e">
        <f>G91/F91</f>
        <v>#DIV/0!</v>
      </c>
      <c r="I41" s="2">
        <f>COUNTIFS(顧客データ!$F$4:$F$1048576,"&gt;=2022/5/1",顧客データ!$F$4:$F$1048576,"&lt;=2022/5/31",顧客データ!$Q$4:$Q$1048576,"=91~100",顧客データ!$J$4:$J$1048576,"&gt;=2022/5/1")</f>
        <v>0</v>
      </c>
      <c r="J41" s="2">
        <f>COUNTIFS(顧客データ!$F$4:$F$1048576,"&gt;=2022/5/1",顧客データ!$F$4:$F$1048576,"&lt;=2022/5/31",顧客データ!$Q$4:$Q$1048576,"=91~100",顧客データ!$D$4:$D$1048576,"=*成約*")</f>
        <v>0</v>
      </c>
      <c r="K41" s="13" t="e">
        <f>J91/I91</f>
        <v>#DIV/0!</v>
      </c>
      <c r="L41" s="2">
        <f>COUNTIFS(顧客データ!$F$4:$F$1048576,"&gt;=2022/6/1",顧客データ!$F$4:$F$1048576,"&lt;=2022/6/30",顧客データ!$Q$4:$Q$1048576,"=91~100",顧客データ!$J$4:$J$1048576,"&gt;=2022/6/1")</f>
        <v>0</v>
      </c>
      <c r="M41" s="2">
        <f>COUNTIFS(顧客データ!$F$4:$F$1048576,"&gt;=2022/6/1",顧客データ!$F$4:$F$1048576,"&lt;=2022/6/30",顧客データ!$Q$4:$Q$1048576,"=91~100",顧客データ!$D$4:$D$1048576,"=*成約*")</f>
        <v>0</v>
      </c>
      <c r="N41" s="13" t="e">
        <f>M91/L91</f>
        <v>#DIV/0!</v>
      </c>
      <c r="O41" s="2">
        <f>COUNTIFS(顧客データ!$F$4:$F$1048576,"&gt;=2022/7/1",顧客データ!$F$4:$F$1048576,"&lt;=2022/7/31",顧客データ!$Q$4:$Q$1048576,"=91~100",顧客データ!$J$4:$J$1048576,"&gt;=2022/7/1")</f>
        <v>0</v>
      </c>
      <c r="P41" s="2">
        <f>COUNTIFS(顧客データ!$F$4:$F$1048576,"&gt;=2022/7/1",顧客データ!$F$4:$F$1048576,"&lt;=2022/7/31",顧客データ!$Q$4:$Q$1048576,"=91~100",顧客データ!$D$4:$D$1048576,"=*成約*")</f>
        <v>0</v>
      </c>
      <c r="Q41" s="13" t="e">
        <f>P91/O91</f>
        <v>#DIV/0!</v>
      </c>
      <c r="R41" s="2">
        <f>COUNTIFS(顧客データ!$F$4:$F$1048576,"&gt;=2022/8/1",顧客データ!$F$4:$F$1048576,"&lt;=2022/8/31",顧客データ!$Q$4:$Q$1048576,"=91~100",顧客データ!$J$4:$J$1048576,"&gt;=2022/8/1")</f>
        <v>0</v>
      </c>
      <c r="S41" s="2">
        <f>COUNTIFS(顧客データ!$F$4:$F$1048576,"&gt;=2022/8/1",顧客データ!$F$4:$F$1048576,"&lt;=2022/8/31",顧客データ!$Q$4:$Q$1048576,"=91~100",顧客データ!$D$4:$D$1048576,"=*成約*")</f>
        <v>0</v>
      </c>
      <c r="T41" s="13" t="e">
        <f>S91/R91</f>
        <v>#DIV/0!</v>
      </c>
      <c r="U41" s="2">
        <f>COUNTIFS(顧客データ!$F$4:$F$1048576,"&gt;=2022/9/1",顧客データ!$F$4:$F$1048576,"&lt;=2022/9/30",顧客データ!$Q$4:$Q$1048576,"=91~100",顧客データ!$J$4:$J$1048576,"&gt;=2022/9/1")</f>
        <v>0</v>
      </c>
      <c r="V41" s="2">
        <f>COUNTIFS(顧客データ!$F$4:$F$1048576,"&gt;=2022/9/1",顧客データ!$F$4:$F$1048576,"&lt;=2022/9/30",顧客データ!$Q$4:$Q$1048576,"=91~100",顧客データ!$D$4:$D$1048576,"=*成約*")</f>
        <v>0</v>
      </c>
      <c r="W41" s="13" t="e">
        <f>V91/U91</f>
        <v>#DIV/0!</v>
      </c>
      <c r="X41" s="2">
        <f>COUNTIFS(顧客データ!$F$4:$F$1048576,"&gt;=2022/10/1",顧客データ!$F$4:$F$1048576,"&lt;=2022/10/31",顧客データ!$Q$4:$Q$1048576,"=91~100",顧客データ!$J$4:$J$1048576,"&gt;=2022/10/1")</f>
        <v>0</v>
      </c>
      <c r="Y41" s="2">
        <f>COUNTIFS(顧客データ!$F$4:$F$1048576,"&gt;=2022/10/1",顧客データ!$F$4:$F$1048576,"&lt;=2022/10/31",顧客データ!$Q$4:$Q$1048576,"=91~100",顧客データ!$D$4:$D$1048576,"=*成約*")</f>
        <v>0</v>
      </c>
      <c r="Z41" s="13" t="e">
        <f>Y91/X91</f>
        <v>#DIV/0!</v>
      </c>
      <c r="AA41" s="2">
        <f>COUNTIFS(顧客データ!$F$4:$F$1048576,"&gt;=2022/11/1",顧客データ!$F$4:$F$1048576,"&lt;=2022/11/30",顧客データ!$Q$4:$Q$1048576,"=91~100",顧客データ!$J$4:$J$1048576,"&gt;=2022/11/1")</f>
        <v>0</v>
      </c>
      <c r="AB41" s="2">
        <f>COUNTIFS(顧客データ!$F$4:$F$1048576,"&gt;=2022/11/1",顧客データ!$F$4:$F$1048576,"&lt;=2022/11/30",顧客データ!$Q$4:$Q$1048576,"=91~100",顧客データ!$D$4:$D$1048576,"=*成約*")</f>
        <v>0</v>
      </c>
      <c r="AC41" s="33" t="e">
        <f>AB91/AA91</f>
        <v>#DIV/0!</v>
      </c>
      <c r="AD41" s="2">
        <f>COUNTIFS(顧客データ!$F$4:$F$1048576,"&gt;=2022/12/1",顧客データ!$F$4:$F$1048576,"&lt;=2022/12/31",顧客データ!$Q$4:$Q$1048576,"=91~100",顧客データ!$J$4:$J$1048576,"&gt;=2022/12/1")</f>
        <v>0</v>
      </c>
      <c r="AE41" s="2">
        <f>COUNTIFS(顧客データ!$F$4:$F$1048576,"&gt;=2022/12/1",顧客データ!$F$4:$F$1048576,"&lt;=2022/12/31",顧客データ!$Q$4:$Q$1048576,"=91~100",顧客データ!$D$4:$D$1048576,"=*成約*")</f>
        <v>0</v>
      </c>
      <c r="AF41" s="34" t="e">
        <f t="shared" si="35"/>
        <v>#DIV/0!</v>
      </c>
      <c r="AG41" s="2">
        <f>COUNTIFS(顧客データ!$F$4:$F$1048576,"&gt;=2023/1/1",顧客データ!$F$4:$F$1048576,"&lt;=2023/1/31",顧客データ!$Q$4:$Q$1048576,"=91~100",顧客データ!$J$4:$J$1048576,"&gt;=2023/1/1")</f>
        <v>0</v>
      </c>
      <c r="AH41" s="2">
        <f>COUNTIFS(顧客データ!$F$4:$F$1048576,"&gt;=2023/1/1",顧客データ!$F$4:$F$1048576,"&lt;=2023/1/31",顧客データ!$Q$4:$Q$1048576,"=91~100",顧客データ!$D$4:$D$1048576,"=*成約*")</f>
        <v>0</v>
      </c>
      <c r="AI41" s="34" t="e">
        <f>AH91/AG91</f>
        <v>#DIV/0!</v>
      </c>
      <c r="AJ41" s="2">
        <f>COUNTIFS(顧客データ!$F$4:$F$1048576,"&gt;=2023/2/1",顧客データ!$F$4:$F$1048576,"&lt;=2023/2/28",顧客データ!$Q$4:$Q$1048576,"=91~100",顧客データ!$J$4:$J$1048576,"&gt;=2023/2/1")</f>
        <v>0</v>
      </c>
      <c r="AK41" s="2">
        <f>COUNTIFS(顧客データ!$F$4:$F$1048576,"&gt;=2023/2/1",顧客データ!$F$4:$F$1048576,"&lt;=2023/2/28",顧客データ!$Q$4:$Q$1048576,"=91~100",顧客データ!$D$4:$D$1048576,"=*成約*")</f>
        <v>0</v>
      </c>
      <c r="AL41" s="34" t="e">
        <f>AK91/AJ91</f>
        <v>#DIV/0!</v>
      </c>
      <c r="AM41" s="6">
        <f>C41+F41+I41+L41+O41+R41+U41+X41+AA41+AD41+AG41+AJ41</f>
        <v>0</v>
      </c>
      <c r="AN41" s="6">
        <f t="shared" ref="AN41" si="52">D41+G41+J41+M41+P41+S41+V41+Y41+AB41+AE41+AH41+AK41</f>
        <v>0</v>
      </c>
      <c r="AO41" s="34" t="e">
        <f>AN41/AM41</f>
        <v>#DIV/0!</v>
      </c>
    </row>
    <row r="42" spans="2:41" x14ac:dyDescent="0.5">
      <c r="B42" t="s">
        <v>90</v>
      </c>
      <c r="C42" s="2">
        <f>COUNTIFS(顧客データ!$F$4:$F$1048576,"&gt;=2022/3/1",顧客データ!$F$4:$F$1048576,"&lt;=2022/3/31",顧客データ!$Q$4:$Q$1048576,"=101~",顧客データ!$J$4:$J$1048576,"&gt;=2022/3/1")</f>
        <v>0</v>
      </c>
      <c r="D42" s="2">
        <f>COUNTIFS(顧客データ!$F$4:$F$1048576,"&gt;=2022/3/1",顧客データ!$F$4:$F$1048576,"&lt;=2022/3/31",顧客データ!$Q$4:$Q$1048576,"=101~",顧客データ!$D$4:$D$1048576,"=*成約*")</f>
        <v>0</v>
      </c>
      <c r="E42" s="13" t="e">
        <f t="shared" si="26"/>
        <v>#DIV/0!</v>
      </c>
      <c r="F42" s="2">
        <f>COUNTIFS(顧客データ!$F$4:$F$1048576,"&gt;=2022/4/1",顧客データ!$F$4:$F$1048576,"&lt;=2022/4/30",顧客データ!$Q$4:$Q$1048576,"=101~",顧客データ!$J$4:$J$1048576,"&gt;=2022/4/1")</f>
        <v>0</v>
      </c>
      <c r="G42" s="2">
        <f>COUNTIFS(顧客データ!$F$4:$F$1048576,"&gt;=2022/4/1",顧客データ!$F$4:$F$1048576,"&lt;=2022/4/30",顧客データ!$Q$4:$Q$1048576,"=101~",顧客データ!$D$4:$D$1048576,"=*成約*")</f>
        <v>0</v>
      </c>
      <c r="H42" s="13" t="e">
        <f t="shared" si="27"/>
        <v>#DIV/0!</v>
      </c>
      <c r="I42" s="2">
        <f>COUNTIFS(顧客データ!$F$4:$F$1048576,"&gt;=2022/5/1",顧客データ!$F$4:$F$1048576,"&lt;=2022/5/31",顧客データ!$Q$4:$Q$1048576,"=101~",顧客データ!$J$4:$J$1048576,"&gt;=2022/5/1")</f>
        <v>0</v>
      </c>
      <c r="J42" s="2">
        <f>COUNTIFS(顧客データ!$F$4:$F$1048576,"&gt;=2022/5/1",顧客データ!$F$4:$F$1048576,"&lt;=2022/5/31",顧客データ!$Q$4:$Q$1048576,"=101~",顧客データ!$D$4:$D$1048576,"=*成約*")</f>
        <v>0</v>
      </c>
      <c r="K42" s="13" t="e">
        <f t="shared" si="28"/>
        <v>#DIV/0!</v>
      </c>
      <c r="L42" s="2">
        <f>COUNTIFS(顧客データ!$F$4:$F$1048576,"&gt;=2022/6/1",顧客データ!$F$4:$F$1048576,"&lt;=2022/6/30",顧客データ!$Q$4:$Q$1048576,"=101~",顧客データ!$J$4:$J$1048576,"&gt;=2022/6/1")</f>
        <v>0</v>
      </c>
      <c r="M42" s="2">
        <f>COUNTIFS(顧客データ!$F$4:$F$1048576,"&gt;=2022/6/1",顧客データ!$F$4:$F$1048576,"&lt;=2022/6/30",顧客データ!$Q$4:$Q$1048576,"=101~",顧客データ!$D$4:$D$1048576,"=*成約*")</f>
        <v>0</v>
      </c>
      <c r="N42" s="13" t="e">
        <f t="shared" si="29"/>
        <v>#DIV/0!</v>
      </c>
      <c r="O42" s="2">
        <f>COUNTIFS(顧客データ!$F$4:$F$1048576,"&gt;=2022/7/1",顧客データ!$F$4:$F$1048576,"&lt;=2022/7/31",顧客データ!$Q$4:$Q$1048576,"=101~",顧客データ!$J$4:$J$1048576,"&gt;=2022/7/1")</f>
        <v>0</v>
      </c>
      <c r="P42" s="2">
        <f>COUNTIFS(顧客データ!$F$4:$F$1048576,"&gt;=2022/7/1",顧客データ!$F$4:$F$1048576,"&lt;=2022/7/31",顧客データ!$Q$4:$Q$1048576,"=101~",顧客データ!$D$4:$D$1048576,"=*成約*")</f>
        <v>0</v>
      </c>
      <c r="Q42" s="13" t="e">
        <f t="shared" si="30"/>
        <v>#DIV/0!</v>
      </c>
      <c r="R42" s="2">
        <f>COUNTIFS(顧客データ!$F$4:$F$1048576,"&gt;=2022/8/1",顧客データ!$F$4:$F$1048576,"&lt;=2022/8/31",顧客データ!$Q$4:$Q$1048576,"=101~",顧客データ!$J$4:$J$1048576,"&gt;=2022/8/1")</f>
        <v>0</v>
      </c>
      <c r="S42" s="2">
        <f>COUNTIFS(顧客データ!$F$4:$F$1048576,"&gt;=2022/8/1",顧客データ!$F$4:$F$1048576,"&lt;=2022/8/31",顧客データ!$Q$4:$Q$1048576,"=101~",顧客データ!$D$4:$D$1048576,"=*成約*")</f>
        <v>0</v>
      </c>
      <c r="T42" s="13" t="e">
        <f t="shared" si="31"/>
        <v>#DIV/0!</v>
      </c>
      <c r="U42" s="2">
        <f>COUNTIFS(顧客データ!$F$4:$F$1048576,"&gt;=2022/9/1",顧客データ!$F$4:$F$1048576,"&lt;=2022/9/30",顧客データ!$Q$4:$Q$1048576,"=101~",顧客データ!$J$4:$J$1048576,"&gt;=2022/9/1")</f>
        <v>0</v>
      </c>
      <c r="V42" s="2">
        <f>COUNTIFS(顧客データ!$F$4:$F$1048576,"&gt;=2022/9/1",顧客データ!$F$4:$F$1048576,"&lt;=2022/9/30",顧客データ!$Q$4:$Q$1048576,"=101~",顧客データ!$D$4:$D$1048576,"=*成約*")</f>
        <v>0</v>
      </c>
      <c r="W42" s="13" t="e">
        <f t="shared" si="32"/>
        <v>#DIV/0!</v>
      </c>
      <c r="X42" s="2">
        <f>COUNTIFS(顧客データ!$F$4:$F$1048576,"&gt;=2022/10/1",顧客データ!$F$4:$F$1048576,"&lt;=2022/10/31",顧客データ!$Q$4:$Q$1048576,"=101~",顧客データ!$J$4:$J$1048576,"&gt;=2022/10/1")</f>
        <v>0</v>
      </c>
      <c r="Y42" s="2">
        <f>COUNTIFS(顧客データ!$F$4:$F$1048576,"&gt;=2022/10/1",顧客データ!$F$4:$F$1048576,"&lt;=2022/10/31",顧客データ!$Q$4:$Q$1048576,"=101~",顧客データ!$D$4:$D$1048576,"=*成約*")</f>
        <v>0</v>
      </c>
      <c r="Z42" s="13" t="e">
        <f t="shared" si="33"/>
        <v>#DIV/0!</v>
      </c>
      <c r="AA42" s="2">
        <f>COUNTIFS(顧客データ!$F$4:$F$1048576,"&gt;=2022/11/1",顧客データ!$F$4:$F$1048576,"&lt;=2022/11/30",顧客データ!$Q$4:$Q$1048576,"=101~",顧客データ!$J$4:$J$1048576,"&gt;=2022/11/1")</f>
        <v>0</v>
      </c>
      <c r="AB42" s="2">
        <f>COUNTIFS(顧客データ!$F$4:$F$1048576,"&gt;=2022/11/1",顧客データ!$F$4:$F$1048576,"&lt;=2022/11/30",顧客データ!$Q$4:$Q$1048576,"=101~",顧客データ!$D$4:$D$1048576,"=*成約*")</f>
        <v>0</v>
      </c>
      <c r="AC42" s="33" t="e">
        <f t="shared" si="34"/>
        <v>#DIV/0!</v>
      </c>
      <c r="AD42" s="2">
        <f>COUNTIFS(顧客データ!$F$4:$F$1048576,"&gt;=2022/12/1",顧客データ!$F$4:$F$1048576,"&lt;=2022/12/31",顧客データ!$Q$4:$Q$1048576,"=101~",顧客データ!$J$4:$J$1048576,"&gt;=2022/12/1")</f>
        <v>0</v>
      </c>
      <c r="AE42" s="2">
        <f>COUNTIFS(顧客データ!$F$4:$F$1048576,"&gt;=2022/12/1",顧客データ!$F$4:$F$1048576,"&lt;=2022/12/31",顧客データ!$Q$4:$Q$1048576,"=101~",顧客データ!$D$4:$D$1048576,"=*成約*")</f>
        <v>0</v>
      </c>
      <c r="AF42" s="34" t="e">
        <f t="shared" si="35"/>
        <v>#DIV/0!</v>
      </c>
      <c r="AG42" s="2">
        <f>COUNTIFS(顧客データ!$F$4:$F$1048576,"&gt;=2023/1/1",顧客データ!$F$4:$F$1048576,"&lt;=2023/1/31",顧客データ!$Q$4:$Q$1048576,"=101~",顧客データ!$J$4:$J$1048576,"&gt;=2023/1/1")</f>
        <v>0</v>
      </c>
      <c r="AH42" s="2">
        <f>COUNTIFS(顧客データ!$F$4:$F$1048576,"&gt;=2023/1/1",顧客データ!$F$4:$F$1048576,"&lt;=2023/1/31",顧客データ!$Q$4:$Q$1048576,"=101~",顧客データ!$D$4:$D$1048576,"=*成約*")</f>
        <v>0</v>
      </c>
      <c r="AI42" s="34" t="e">
        <f t="shared" si="36"/>
        <v>#DIV/0!</v>
      </c>
      <c r="AJ42" s="2">
        <f>COUNTIFS(顧客データ!$F$4:$F$1048576,"&gt;=2023/2/1",顧客データ!$F$4:$F$1048576,"&lt;=2023/2/28",顧客データ!$Q$4:$Q$1048576,"=101~",顧客データ!$J$4:$J$1048576,"&gt;=2023/2/1")</f>
        <v>0</v>
      </c>
      <c r="AK42" s="2">
        <f>COUNTIFS(顧客データ!$F$4:$F$1048576,"&gt;=2023/2/1",顧客データ!$F$4:$F$1048576,"&lt;=2023/2/28",顧客データ!$Q$4:$Q$1048576,"=101~",顧客データ!$D$4:$D$1048576,"=*成約*")</f>
        <v>0</v>
      </c>
      <c r="AL42" s="34" t="e">
        <f t="shared" si="37"/>
        <v>#DIV/0!</v>
      </c>
      <c r="AM42" s="6">
        <f t="shared" si="38"/>
        <v>0</v>
      </c>
      <c r="AN42" s="6">
        <f t="shared" si="39"/>
        <v>0</v>
      </c>
      <c r="AO42" s="34" t="e">
        <f t="shared" si="40"/>
        <v>#DIV/0!</v>
      </c>
    </row>
    <row r="45" spans="2:41" x14ac:dyDescent="0.5">
      <c r="B45" s="4" t="s">
        <v>116</v>
      </c>
    </row>
    <row r="46" spans="2:41" x14ac:dyDescent="0.5">
      <c r="B46" s="4"/>
      <c r="C46" s="77" t="s">
        <v>9</v>
      </c>
      <c r="D46" s="77"/>
      <c r="E46" s="77"/>
      <c r="F46" s="77" t="s">
        <v>10</v>
      </c>
      <c r="G46" s="77"/>
      <c r="H46" s="77"/>
      <c r="I46" s="77" t="s">
        <v>11</v>
      </c>
      <c r="J46" s="77"/>
      <c r="K46" s="77"/>
      <c r="L46" s="77" t="s">
        <v>13</v>
      </c>
      <c r="M46" s="77"/>
      <c r="N46" s="77"/>
      <c r="O46" s="77" t="s">
        <v>14</v>
      </c>
      <c r="P46" s="77"/>
      <c r="Q46" s="77"/>
      <c r="R46" s="77" t="s">
        <v>15</v>
      </c>
      <c r="S46" s="77"/>
      <c r="T46" s="77"/>
      <c r="U46" s="77" t="s">
        <v>16</v>
      </c>
      <c r="V46" s="77"/>
      <c r="W46" s="77"/>
      <c r="X46" s="77" t="s">
        <v>17</v>
      </c>
      <c r="Y46" s="77"/>
      <c r="Z46" s="77"/>
      <c r="AA46" s="77" t="s">
        <v>18</v>
      </c>
      <c r="AB46" s="77"/>
      <c r="AC46" s="77"/>
      <c r="AD46" s="77" t="s">
        <v>19</v>
      </c>
      <c r="AE46" s="77"/>
      <c r="AF46" s="77"/>
      <c r="AG46" s="77" t="s">
        <v>20</v>
      </c>
      <c r="AH46" s="77"/>
      <c r="AI46" s="77"/>
      <c r="AJ46" s="77" t="s">
        <v>21</v>
      </c>
      <c r="AK46" s="77"/>
      <c r="AL46" s="77"/>
      <c r="AM46" s="77" t="s">
        <v>22</v>
      </c>
      <c r="AN46" s="77"/>
      <c r="AO46" s="77"/>
    </row>
    <row r="47" spans="2:41" x14ac:dyDescent="0.5">
      <c r="C47" s="1" t="s">
        <v>7</v>
      </c>
      <c r="D47" s="1" t="s">
        <v>8</v>
      </c>
      <c r="E47" s="1" t="s">
        <v>23</v>
      </c>
      <c r="F47" s="1" t="s">
        <v>7</v>
      </c>
      <c r="G47" s="1" t="s">
        <v>8</v>
      </c>
      <c r="H47" s="1" t="s">
        <v>23</v>
      </c>
      <c r="I47" s="1" t="s">
        <v>7</v>
      </c>
      <c r="J47" s="1" t="s">
        <v>8</v>
      </c>
      <c r="K47" s="1" t="s">
        <v>23</v>
      </c>
      <c r="L47" s="1" t="s">
        <v>7</v>
      </c>
      <c r="M47" s="1" t="s">
        <v>8</v>
      </c>
      <c r="N47" s="1" t="s">
        <v>23</v>
      </c>
      <c r="O47" s="1" t="s">
        <v>7</v>
      </c>
      <c r="P47" s="1" t="s">
        <v>8</v>
      </c>
      <c r="Q47" s="1" t="s">
        <v>23</v>
      </c>
      <c r="R47" s="1" t="s">
        <v>7</v>
      </c>
      <c r="S47" s="1" t="s">
        <v>8</v>
      </c>
      <c r="T47" s="1" t="s">
        <v>23</v>
      </c>
      <c r="U47" s="1" t="s">
        <v>7</v>
      </c>
      <c r="V47" s="1" t="s">
        <v>8</v>
      </c>
      <c r="W47" s="1" t="s">
        <v>23</v>
      </c>
      <c r="X47" s="1" t="s">
        <v>7</v>
      </c>
      <c r="Y47" s="1" t="s">
        <v>8</v>
      </c>
      <c r="Z47" s="1" t="s">
        <v>23</v>
      </c>
      <c r="AA47" s="1" t="s">
        <v>7</v>
      </c>
      <c r="AB47" s="1" t="s">
        <v>8</v>
      </c>
      <c r="AC47" s="1" t="s">
        <v>23</v>
      </c>
      <c r="AD47" s="1" t="s">
        <v>7</v>
      </c>
      <c r="AE47" s="1" t="s">
        <v>8</v>
      </c>
      <c r="AF47" s="1" t="s">
        <v>23</v>
      </c>
      <c r="AG47" s="1" t="s">
        <v>7</v>
      </c>
      <c r="AH47" s="1" t="s">
        <v>8</v>
      </c>
      <c r="AI47" s="1" t="s">
        <v>23</v>
      </c>
      <c r="AJ47" s="1" t="s">
        <v>7</v>
      </c>
      <c r="AK47" s="1" t="s">
        <v>8</v>
      </c>
      <c r="AL47" s="1" t="s">
        <v>23</v>
      </c>
      <c r="AM47" s="1" t="s">
        <v>7</v>
      </c>
      <c r="AN47" s="1" t="s">
        <v>8</v>
      </c>
      <c r="AO47" s="1" t="s">
        <v>23</v>
      </c>
    </row>
    <row r="48" spans="2:41" x14ac:dyDescent="0.5">
      <c r="B48" t="s">
        <v>105</v>
      </c>
      <c r="C48" s="2">
        <f>COUNTIFS(顧客データ!$F$4:$F$1048576,"&gt;=2022/3/1",顧客データ!$F$4:$F$1048576,"&lt;=2022/3/31",顧客データ!$R$4:$R$1048576,"=~50万円",顧客データ!$J$4:$J$1048576,"&gt;=2022/3/1")</f>
        <v>1</v>
      </c>
      <c r="D48" s="2">
        <f>COUNTIFS(顧客データ!$F$4:$F$1048576,"&gt;=2022/3/1",顧客データ!$F$4:$F$1048576,"&lt;=2022/3/31",顧客データ!$R$4:$R$1048576,"=~50万円",顧客データ!$D$4:$D$1048576,"=*成約*")</f>
        <v>0</v>
      </c>
      <c r="E48" s="13">
        <f>D48/C48</f>
        <v>0</v>
      </c>
      <c r="F48" s="2">
        <f>COUNTIFS(顧客データ!$F$4:$F$1048576,"&gt;=2022/4/1",顧客データ!$F$4:$F$1048576,"&lt;=2022/4/30",顧客データ!$R$4:$R$1048576,"=~50万円",顧客データ!$J$4:$J$1048576,"&gt;=2022/4/1")</f>
        <v>1</v>
      </c>
      <c r="G48" s="2">
        <f>COUNTIFS(顧客データ!$F$4:$F$1048576,"&gt;=2022/4/1",顧客データ!$F$4:$F$1048576,"&lt;=2022/4/30",顧客データ!$R$4:$R$1048576,"=~50万円",顧客データ!$D$4:$D$1048576,"=*成約*")</f>
        <v>1</v>
      </c>
      <c r="H48" s="13">
        <f>G48/F48</f>
        <v>1</v>
      </c>
      <c r="I48" s="2">
        <f>COUNTIFS(顧客データ!$F$4:$F$1048576,"&gt;=2022/5/1",顧客データ!$F$4:$F$1048576,"&lt;=2022/5/31",顧客データ!$R$4:$R$1048576,"=~50万円",顧客データ!$J$4:$J$1048576,"&gt;=2022/5/1")</f>
        <v>0</v>
      </c>
      <c r="J48" s="2">
        <f>COUNTIFS(顧客データ!$F$4:$F$1048576,"&gt;=2022/5/1",顧客データ!$F$4:$F$1048576,"&lt;=2022/5/31",顧客データ!$R$4:$R$1048576,"=~50万円",顧客データ!$D$4:$D$1048576,"=*成約*")</f>
        <v>0</v>
      </c>
      <c r="K48" s="13" t="e">
        <f>J48/I48</f>
        <v>#DIV/0!</v>
      </c>
      <c r="L48" s="2">
        <f>COUNTIFS(顧客データ!$F$4:$F$1048576,"&gt;=2022/6/1",顧客データ!$F$4:$F$1048576,"&lt;=2022/6/30",顧客データ!$R$4:$R$1048576,"=~50万円",顧客データ!$J$4:$J$1048576,"&gt;=2022/6/1")</f>
        <v>0</v>
      </c>
      <c r="M48" s="2">
        <f>COUNTIFS(顧客データ!$F$4:$F$1048576,"&gt;=2022/6/1",顧客データ!$F$4:$F$1048576,"&lt;=2022/6/30",顧客データ!$R$4:$R$1048576,"=~50万円",顧客データ!$D$4:$D$1048576,"=*成約*")</f>
        <v>0</v>
      </c>
      <c r="N48" s="13" t="e">
        <f>M48/L48</f>
        <v>#DIV/0!</v>
      </c>
      <c r="O48" s="2">
        <f>COUNTIFS(顧客データ!$F$4:$F$1048576,"&gt;=2022/7/1",顧客データ!$F$4:$F$1048576,"&lt;=2022/7/31",顧客データ!$R$4:$R$1048576,"=~50万円",顧客データ!$J$4:$J$1048576,"&gt;=2022/7/1")</f>
        <v>0</v>
      </c>
      <c r="P48" s="2">
        <f>COUNTIFS(顧客データ!$F$4:$F$1048576,"&gt;=2022/7/1",顧客データ!$F$4:$F$1048576,"&lt;=2022/7/31",顧客データ!$R$4:$R$1048576,"=~50万円",顧客データ!$D$4:$D$1048576,"=*成約*")</f>
        <v>0</v>
      </c>
      <c r="Q48" s="13" t="e">
        <f>P48/O48</f>
        <v>#DIV/0!</v>
      </c>
      <c r="R48" s="2">
        <f>COUNTIFS(顧客データ!$F$4:$F$1048576,"&gt;=2022/8/1",顧客データ!$F$4:$F$1048576,"&lt;=2022/8/31",顧客データ!$R$4:$R$1048576,"=~50万円",顧客データ!$J$4:$J$1048576,"&gt;=2022/8/1")</f>
        <v>0</v>
      </c>
      <c r="S48" s="2">
        <f>COUNTIFS(顧客データ!$F$4:$F$1048576,"&gt;=2022/8/1",顧客データ!$F$4:$F$1048576,"&lt;=2022/8/31",顧客データ!$R$4:$R$1048576,"=~50万円",顧客データ!$D$4:$D$1048576,"=*成約*")</f>
        <v>0</v>
      </c>
      <c r="T48" s="13" t="e">
        <f>S48/R48</f>
        <v>#DIV/0!</v>
      </c>
      <c r="U48" s="2">
        <f>COUNTIFS(顧客データ!$F$4:$F$1048576,"&gt;=2022/9/1",顧客データ!$F$4:$F$1048576,"&lt;=2022/9/30",顧客データ!$R$4:$R$1048576,"=~50万円",顧客データ!$J$4:$J$1048576,"&gt;=2022/9/1")</f>
        <v>0</v>
      </c>
      <c r="V48" s="2">
        <f>COUNTIFS(顧客データ!$F$4:$F$1048576,"&gt;=2022/9/1",顧客データ!$F$4:$F$1048576,"&lt;=2022/9/30",顧客データ!$R$4:$R$1048576,"=~50万円",顧客データ!$D$4:$D$1048576,"=*成約*")</f>
        <v>0</v>
      </c>
      <c r="W48" s="13" t="e">
        <f>V48/U48</f>
        <v>#DIV/0!</v>
      </c>
      <c r="X48" s="2">
        <f>COUNTIFS(顧客データ!$F$4:$F$1048576,"&gt;=2022/10/1",顧客データ!$F$4:$F$1048576,"&lt;=2022/10/31",顧客データ!$R$4:$R$1048576,"=~50万円",顧客データ!$J$4:$J$1048576,"&gt;=2022/10/1")</f>
        <v>1</v>
      </c>
      <c r="Y48" s="2">
        <f>COUNTIFS(顧客データ!$F$4:$F$1048576,"&gt;=2022/10/1",顧客データ!$F$4:$F$1048576,"&lt;=2022/10/31",顧客データ!$R$4:$R$1048576,"=~50万円",顧客データ!$D$4:$D$1048576,"=*成約*")</f>
        <v>1</v>
      </c>
      <c r="Z48" s="13">
        <f>Y48/X48</f>
        <v>1</v>
      </c>
      <c r="AA48" s="2">
        <f>COUNTIFS(顧客データ!$F$4:$F$1048576,"&gt;=2022/11/1",顧客データ!$F$4:$F$1048576,"&lt;=2022/11/30",顧客データ!$R$4:$R$1048576,"=~50万円",顧客データ!$J$4:$J$1048576,"&gt;=2022/11/1")</f>
        <v>1</v>
      </c>
      <c r="AB48" s="2">
        <f>COUNTIFS(顧客データ!$F$4:$F$1048576,"&gt;=2022/11/1",顧客データ!$F$4:$F$1048576,"&lt;=2022/11/30",顧客データ!$R$4:$R$1048576,"=~50万円",顧客データ!$D$4:$D$1048576,"=*成約*")</f>
        <v>0</v>
      </c>
      <c r="AC48" s="33">
        <f>AB48/AA48</f>
        <v>0</v>
      </c>
      <c r="AD48" s="2">
        <f>COUNTIFS(顧客データ!$F$4:$F$1048576,"&gt;=2022/12/1",顧客データ!$F$4:$F$1048576,"&lt;=2022/12/31",顧客データ!$R$4:$R$1048576,"=~50万円",顧客データ!$J$4:$J$1048576,"&gt;=2022/12/1")</f>
        <v>0</v>
      </c>
      <c r="AE48" s="2">
        <f>COUNTIFS(顧客データ!$F$4:$F$1048576,"&gt;=2022/12/1",顧客データ!$F$4:$F$1048576,"&lt;=2022/12/31",顧客データ!$R$4:$R$1048576,"=~50万円",顧客データ!$D$4:$D$1048576,"=*成約*")</f>
        <v>0</v>
      </c>
      <c r="AF48" s="34" t="e">
        <f>AE48/AD48</f>
        <v>#DIV/0!</v>
      </c>
      <c r="AG48" s="2">
        <f>COUNTIFS(顧客データ!$F$4:$F$1048576,"&gt;=2023/1/1",顧客データ!$F$4:$F$1048576,"&lt;=2023/1/31",顧客データ!$R$4:$R$1048576,"=~50万円",顧客データ!$J$4:$J$1048576,"&gt;=2023/1/1")</f>
        <v>0</v>
      </c>
      <c r="AH48" s="2">
        <f>COUNTIFS(顧客データ!$F$4:$F$1048576,"&gt;=2023/1/1",顧客データ!$F$4:$F$1048576,"&lt;=2023/1/31",顧客データ!$R$4:$R$1048576,"=~50万円",顧客データ!$D$4:$D$1048576,"=*成約*")</f>
        <v>0</v>
      </c>
      <c r="AI48" s="34" t="e">
        <f>AH48/AG48</f>
        <v>#DIV/0!</v>
      </c>
      <c r="AJ48" s="2">
        <f>COUNTIFS(顧客データ!$F$4:$F$1048576,"&gt;=2023/2/1",顧客データ!$F$4:$F$1048576,"&lt;=2023/2/28",顧客データ!$R$4:$R$1048576,"=~50万円",顧客データ!$J$4:$J$1048576,"&gt;=2023/2/1")</f>
        <v>0</v>
      </c>
      <c r="AK48" s="2">
        <f>COUNTIFS(顧客データ!$F$4:$F$1048576,"&gt;=2023/2/1",顧客データ!$F$4:$F$1048576,"&lt;=2023/2/28",顧客データ!$R$4:$R$1048576,"=~50万円",顧客データ!$D$4:$D$1048576,"=*成約*")</f>
        <v>0</v>
      </c>
      <c r="AL48" s="34" t="e">
        <f>AK48/AJ48</f>
        <v>#DIV/0!</v>
      </c>
      <c r="AM48" s="6">
        <f>C48+F48+I48+L48+O48+R48+U48+X48+AA48+AD48+AG48+AJ48</f>
        <v>4</v>
      </c>
      <c r="AN48" s="6">
        <f>D48+G48+J48+M48+P48+S48+V48+Y48+AB48+AE48+AH48+AK48</f>
        <v>2</v>
      </c>
      <c r="AO48" s="34">
        <f>AN48/AM48</f>
        <v>0.5</v>
      </c>
    </row>
    <row r="49" spans="2:41" x14ac:dyDescent="0.5">
      <c r="B49" t="s">
        <v>106</v>
      </c>
      <c r="C49" s="2">
        <f>COUNTIFS(顧客データ!$F$4:$F$1048576,"&gt;=2022/3/1",顧客データ!$F$4:$F$1048576,"&lt;=2022/3/31",顧客データ!$R$4:$R$1048576,"=~100万円",顧客データ!$J$4:$J$1048576,"&gt;=2022/3/1")</f>
        <v>11</v>
      </c>
      <c r="D49" s="2">
        <f>COUNTIFS(顧客データ!$F$4:$F$1048576,"&gt;=2022/3/1",顧客データ!$F$4:$F$1048576,"&lt;=2022/3/31",顧客データ!$R$4:$R$1048576,"=~100万円",顧客データ!$D$4:$D$1048576,"=*成約*")</f>
        <v>7</v>
      </c>
      <c r="E49" s="13">
        <f t="shared" ref="E49:E57" si="53">D49/C49</f>
        <v>0.63636363636363635</v>
      </c>
      <c r="F49" s="2">
        <f>COUNTIFS(顧客データ!$F$4:$F$1048576,"&gt;=2022/4/1",顧客データ!$F$4:$F$1048576,"&lt;=2022/4/30",顧客データ!$R$4:$R$1048576,"=~100万円",顧客データ!$J$4:$J$1048576,"&gt;=2022/4/1")</f>
        <v>3</v>
      </c>
      <c r="G49" s="2">
        <f>COUNTIFS(顧客データ!$F$4:$F$1048576,"&gt;=2022/4/1",顧客データ!$F$4:$F$1048576,"&lt;=2022/4/30",顧客データ!$R$4:$R$1048576,"=~100万円",顧客データ!$D$4:$D$1048576,"=*成約*")</f>
        <v>1</v>
      </c>
      <c r="H49" s="13">
        <f t="shared" ref="H49:H57" si="54">G49/F49</f>
        <v>0.33333333333333331</v>
      </c>
      <c r="I49" s="2">
        <f>COUNTIFS(顧客データ!$F$4:$F$1048576,"&gt;=2022/5/1",顧客データ!$F$4:$F$1048576,"&lt;=2022/5/31",顧客データ!$R$4:$R$1048576,"=~100万円",顧客データ!$J$4:$J$1048576,"&gt;=2022/5/1")</f>
        <v>8</v>
      </c>
      <c r="J49" s="2">
        <f>COUNTIFS(顧客データ!$F$4:$F$1048576,"&gt;=2022/5/1",顧客データ!$F$4:$F$1048576,"&lt;=2022/5/31",顧客データ!$R$4:$R$1048576,"=~100万円",顧客データ!$D$4:$D$1048576,"=*成約*")</f>
        <v>6</v>
      </c>
      <c r="K49" s="13">
        <f t="shared" ref="K49:K57" si="55">J49/I49</f>
        <v>0.75</v>
      </c>
      <c r="L49" s="2">
        <f>COUNTIFS(顧客データ!$F$4:$F$1048576,"&gt;=2022/6/1",顧客データ!$F$4:$F$1048576,"&lt;=2022/6/30",顧客データ!$R$4:$R$1048576,"=~100万円",顧客データ!$J$4:$J$1048576,"&gt;=2022/6/1")</f>
        <v>2</v>
      </c>
      <c r="M49" s="2">
        <f>COUNTIFS(顧客データ!$F$4:$F$1048576,"&gt;=2022/6/1",顧客データ!$F$4:$F$1048576,"&lt;=2022/6/30",顧客データ!$R$4:$R$1048576,"=~100万円",顧客データ!$D$4:$D$1048576,"=*成約*")</f>
        <v>1</v>
      </c>
      <c r="N49" s="13">
        <f t="shared" ref="N49:N57" si="56">M49/L49</f>
        <v>0.5</v>
      </c>
      <c r="O49" s="2">
        <f>COUNTIFS(顧客データ!$F$4:$F$1048576,"&gt;=2022/7/1",顧客データ!$F$4:$F$1048576,"&lt;=2022/7/31",顧客データ!$R$4:$R$1048576,"=~100万円",顧客データ!$J$4:$J$1048576,"&gt;=2022/7/1")</f>
        <v>1</v>
      </c>
      <c r="P49" s="2">
        <f>COUNTIFS(顧客データ!$F$4:$F$1048576,"&gt;=2022/7/1",顧客データ!$F$4:$F$1048576,"&lt;=2022/7/31",顧客データ!$R$4:$R$1048576,"=~100万円",顧客データ!$D$4:$D$1048576,"=*成約*")</f>
        <v>0</v>
      </c>
      <c r="Q49" s="13">
        <f t="shared" ref="Q49:Q57" si="57">P49/O49</f>
        <v>0</v>
      </c>
      <c r="R49" s="2">
        <f>COUNTIFS(顧客データ!$F$4:$F$1048576,"&gt;=2022/8/1",顧客データ!$F$4:$F$1048576,"&lt;=2022/8/31",顧客データ!$R$4:$R$1048576,"=~100万円",顧客データ!$J$4:$J$1048576,"&gt;=2022/8/1")</f>
        <v>2</v>
      </c>
      <c r="S49" s="2">
        <f>COUNTIFS(顧客データ!$F$4:$F$1048576,"&gt;=2022/8/1",顧客データ!$F$4:$F$1048576,"&lt;=2022/8/31",顧客データ!$R$4:$R$1048576,"=~100万円",顧客データ!$D$4:$D$1048576,"=*成約*")</f>
        <v>1</v>
      </c>
      <c r="T49" s="13">
        <f t="shared" ref="T49:T57" si="58">S49/R49</f>
        <v>0.5</v>
      </c>
      <c r="U49" s="2">
        <f>COUNTIFS(顧客データ!$F$4:$F$1048576,"&gt;=2022/9/1",顧客データ!$F$4:$F$1048576,"&lt;=2022/9/30",顧客データ!$R$4:$R$1048576,"=~100万円",顧客データ!$J$4:$J$1048576,"&gt;=2022/9/1")</f>
        <v>2</v>
      </c>
      <c r="V49" s="2">
        <f>COUNTIFS(顧客データ!$F$4:$F$1048576,"&gt;=2022/9/1",顧客データ!$F$4:$F$1048576,"&lt;=2022/9/30",顧客データ!$R$4:$R$1048576,"=~100万円",顧客データ!$D$4:$D$1048576,"=*成約*")</f>
        <v>0</v>
      </c>
      <c r="W49" s="13">
        <f t="shared" ref="W49:W57" si="59">V49/U49</f>
        <v>0</v>
      </c>
      <c r="X49" s="2">
        <f>COUNTIFS(顧客データ!$F$4:$F$1048576,"&gt;=2022/10/1",顧客データ!$F$4:$F$1048576,"&lt;=2022/10/31",顧客データ!$R$4:$R$1048576,"=~100万円",顧客データ!$J$4:$J$1048576,"&gt;=2022/10/1")</f>
        <v>2</v>
      </c>
      <c r="Y49" s="2">
        <f>COUNTIFS(顧客データ!$F$4:$F$1048576,"&gt;=2022/10/1",顧客データ!$F$4:$F$1048576,"&lt;=2022/10/31",顧客データ!$R$4:$R$1048576,"=~100万円",顧客データ!$D$4:$D$1048576,"=*成約*")</f>
        <v>1</v>
      </c>
      <c r="Z49" s="13">
        <f t="shared" ref="Z49:Z57" si="60">Y49/X49</f>
        <v>0.5</v>
      </c>
      <c r="AA49" s="2">
        <f>COUNTIFS(顧客データ!$F$4:$F$1048576,"&gt;=2022/11/1",顧客データ!$F$4:$F$1048576,"&lt;=2022/11/30",顧客データ!$R$4:$R$1048576,"=~100万円",顧客データ!$J$4:$J$1048576,"&gt;=2022/11/1")</f>
        <v>2</v>
      </c>
      <c r="AB49" s="2">
        <f>COUNTIFS(顧客データ!$F$4:$F$1048576,"&gt;=2022/11/1",顧客データ!$F$4:$F$1048576,"&lt;=2022/11/30",顧客データ!$R$4:$R$1048576,"=~100万円",顧客データ!$D$4:$D$1048576,"=*成約*")</f>
        <v>1</v>
      </c>
      <c r="AC49" s="33">
        <f t="shared" ref="AC49:AC57" si="61">AB49/AA49</f>
        <v>0.5</v>
      </c>
      <c r="AD49" s="2">
        <f>COUNTIFS(顧客データ!$F$4:$F$1048576,"&gt;=2022/12/1",顧客データ!$F$4:$F$1048576,"&lt;=2022/12/31",顧客データ!$R$4:$R$1048576,"=~100万円",顧客データ!$J$4:$J$1048576,"&gt;=2022/12/1")</f>
        <v>2</v>
      </c>
      <c r="AE49" s="2">
        <f>COUNTIFS(顧客データ!$F$4:$F$1048576,"&gt;=2022/12/1",顧客データ!$F$4:$F$1048576,"&lt;=2022/12/31",顧客データ!$R$4:$R$1048576,"=~100万円",顧客データ!$D$4:$D$1048576,"=*成約*")</f>
        <v>0</v>
      </c>
      <c r="AF49" s="34">
        <f t="shared" ref="AF49:AF57" si="62">AE49/AD49</f>
        <v>0</v>
      </c>
      <c r="AG49" s="2">
        <f>COUNTIFS(顧客データ!$F$4:$F$1048576,"&gt;=2023/1/1",顧客データ!$F$4:$F$1048576,"&lt;=2023/1/31",顧客データ!$R$4:$R$1048576,"=~100万円",顧客データ!$J$4:$J$1048576,"&gt;=2023/1/1")</f>
        <v>3</v>
      </c>
      <c r="AH49" s="2">
        <f>COUNTIFS(顧客データ!$F$4:$F$1048576,"&gt;=2023/1/1",顧客データ!$F$4:$F$1048576,"&lt;=2023/1/31",顧客データ!$R$4:$R$1048576,"=~100万円",顧客データ!$D$4:$D$1048576,"=*成約*")</f>
        <v>1</v>
      </c>
      <c r="AI49" s="34">
        <f>AH49/AG49</f>
        <v>0.33333333333333331</v>
      </c>
      <c r="AJ49" s="2">
        <f>COUNTIFS(顧客データ!$F$4:$F$1048576,"&gt;=2023/2/1",顧客データ!$F$4:$F$1048576,"&lt;=2023/2/28",顧客データ!$R$4:$R$1048576,"=~100万円",顧客データ!$J$4:$J$1048576,"&gt;=2023/2/1")</f>
        <v>0</v>
      </c>
      <c r="AK49" s="2">
        <f>COUNTIFS(顧客データ!$F$4:$F$1048576,"&gt;=2023/2/1",顧客データ!$F$4:$F$1048576,"&lt;=2023/2/28",顧客データ!$R$4:$R$1048576,"=~100万円",顧客データ!$D$4:$D$1048576,"=*成約*")</f>
        <v>0</v>
      </c>
      <c r="AL49" s="34" t="e">
        <f t="shared" ref="AL49:AL57" si="63">AK49/AJ49</f>
        <v>#DIV/0!</v>
      </c>
      <c r="AM49" s="6">
        <f t="shared" ref="AM49:AM57" si="64">C49+F49+I49+L49+O49+R49+U49+X49+AA49+AD49+AG49+AJ49</f>
        <v>38</v>
      </c>
      <c r="AN49" s="6">
        <f t="shared" ref="AN49:AN57" si="65">D49+G49+J49+M49+P49+S49+V49+Y49+AB49+AE49+AH49+AK49</f>
        <v>19</v>
      </c>
      <c r="AO49" s="34">
        <f t="shared" ref="AO49:AO57" si="66">AN49/AM49</f>
        <v>0.5</v>
      </c>
    </row>
    <row r="50" spans="2:41" x14ac:dyDescent="0.5">
      <c r="B50" t="s">
        <v>163</v>
      </c>
      <c r="C50" s="2">
        <f>COUNTIFS(顧客データ!$F$4:$F$1048576,"&gt;=2022/3/1",顧客データ!$F$4:$F$1048576,"&lt;=2022/3/31",顧客データ!$R$4:$R$1048576,"=~150万円",顧客データ!$J$4:$J$1048576,"&gt;=2022/3/1")</f>
        <v>2</v>
      </c>
      <c r="D50" s="2">
        <f>COUNTIFS(顧客データ!$F$4:$F$1048576,"&gt;=2022/3/1",顧客データ!$F$4:$F$1048576,"&lt;=2022/3/31",顧客データ!$R$4:$R$1048576,"=~150万円",顧客データ!$D$4:$D$1048576,"=*成約*")</f>
        <v>1</v>
      </c>
      <c r="E50" s="13">
        <f t="shared" si="53"/>
        <v>0.5</v>
      </c>
      <c r="F50" s="2">
        <f>COUNTIFS(顧客データ!$F$4:$F$1048576,"&gt;=2022/4/1",顧客データ!$F$4:$F$1048576,"&lt;=2022/4/30",顧客データ!$R$4:$R$1048576,"=~150万円",顧客データ!$J$4:$J$1048576,"&gt;=2022/4/1")</f>
        <v>3</v>
      </c>
      <c r="G50" s="2">
        <f>COUNTIFS(顧客データ!$F$4:$F$1048576,"&gt;=2022/4/1",顧客データ!$F$4:$F$1048576,"&lt;=2022/4/30",顧客データ!$R$4:$R$1048576,"=~150万円",顧客データ!$D$4:$D$1048576,"=*成約*")</f>
        <v>2</v>
      </c>
      <c r="H50" s="13">
        <f t="shared" si="54"/>
        <v>0.66666666666666663</v>
      </c>
      <c r="I50" s="2">
        <f>COUNTIFS(顧客データ!$F$4:$F$1048576,"&gt;=2022/5/1",顧客データ!$F$4:$F$1048576,"&lt;=2022/5/31",顧客データ!$R$4:$R$1048576,"=~150万円",顧客データ!$J$4:$J$1048576,"&gt;=2022/5/1")</f>
        <v>0</v>
      </c>
      <c r="J50" s="2">
        <f>COUNTIFS(顧客データ!$F$4:$F$1048576,"&gt;=2022/5/1",顧客データ!$F$4:$F$1048576,"&lt;=2022/5/31",顧客データ!$R$4:$R$1048576,"=~150万円",顧客データ!$D$4:$D$1048576,"=*成約*")</f>
        <v>0</v>
      </c>
      <c r="K50" s="13" t="e">
        <f t="shared" si="55"/>
        <v>#DIV/0!</v>
      </c>
      <c r="L50" s="2">
        <f>COUNTIFS(顧客データ!$F$4:$F$1048576,"&gt;=2022/6/1",顧客データ!$F$4:$F$1048576,"&lt;=2022/6/30",顧客データ!$R$4:$R$1048576,"=~150万円",顧客データ!$J$4:$J$1048576,"&gt;=2022/6/1")</f>
        <v>3</v>
      </c>
      <c r="M50" s="2">
        <f>COUNTIFS(顧客データ!$F$4:$F$1048576,"&gt;=2022/6/1",顧客データ!$F$4:$F$1048576,"&lt;=2022/6/30",顧客データ!$R$4:$R$1048576,"=~150万円",顧客データ!$D$4:$D$1048576,"=*成約*")</f>
        <v>1</v>
      </c>
      <c r="N50" s="13">
        <f t="shared" si="56"/>
        <v>0.33333333333333331</v>
      </c>
      <c r="O50" s="2">
        <f>COUNTIFS(顧客データ!$F$4:$F$1048576,"&gt;=2022/7/1",顧客データ!$F$4:$F$1048576,"&lt;=2022/7/31",顧客データ!$R$4:$R$1048576,"=~150万円",顧客データ!$J$4:$J$1048576,"&gt;=2022/7/1")</f>
        <v>2</v>
      </c>
      <c r="P50" s="2">
        <f>COUNTIFS(顧客データ!$F$4:$F$1048576,"&gt;=2022/7/1",顧客データ!$F$4:$F$1048576,"&lt;=2022/7/31",顧客データ!$R$4:$R$1048576,"=~150万円",顧客データ!$D$4:$D$1048576,"=*成約*")</f>
        <v>0</v>
      </c>
      <c r="Q50" s="13">
        <f t="shared" si="57"/>
        <v>0</v>
      </c>
      <c r="R50" s="2">
        <f>COUNTIFS(顧客データ!$F$4:$F$1048576,"&gt;=2022/8/1",顧客データ!$F$4:$F$1048576,"&lt;=2022/8/31",顧客データ!$R$4:$R$1048576,"=~150万円",顧客データ!$J$4:$J$1048576,"&gt;=2022/8/1")</f>
        <v>4</v>
      </c>
      <c r="S50" s="2">
        <f>COUNTIFS(顧客データ!$F$4:$F$1048576,"&gt;=2022/8/1",顧客データ!$F$4:$F$1048576,"&lt;=2022/8/31",顧客データ!$R$4:$R$1048576,"=~150万円",顧客データ!$D$4:$D$1048576,"=*成約*")</f>
        <v>1</v>
      </c>
      <c r="T50" s="13">
        <f t="shared" si="58"/>
        <v>0.25</v>
      </c>
      <c r="U50" s="2">
        <f>COUNTIFS(顧客データ!$F$4:$F$1048576,"&gt;=2022/9/1",顧客データ!$F$4:$F$1048576,"&lt;=2022/9/30",顧客データ!$R$4:$R$1048576,"=~150万円",顧客データ!$J$4:$J$1048576,"&gt;=2022/9/1")</f>
        <v>1</v>
      </c>
      <c r="V50" s="2">
        <f>COUNTIFS(顧客データ!$F$4:$F$1048576,"&gt;=2022/9/1",顧客データ!$F$4:$F$1048576,"&lt;=2022/9/30",顧客データ!$R$4:$R$1048576,"=~150万円",顧客データ!$D$4:$D$1048576,"=*成約*")</f>
        <v>1</v>
      </c>
      <c r="W50" s="13">
        <f t="shared" si="59"/>
        <v>1</v>
      </c>
      <c r="X50" s="2">
        <f>COUNTIFS(顧客データ!$F$4:$F$1048576,"&gt;=2022/10/1",顧客データ!$F$4:$F$1048576,"&lt;=2022/10/31",顧客データ!$R$4:$R$1048576,"=~150万円",顧客データ!$J$4:$J$1048576,"&gt;=2022/10/1")</f>
        <v>0</v>
      </c>
      <c r="Y50" s="2">
        <f>COUNTIFS(顧客データ!$F$4:$F$1048576,"&gt;=2022/10/1",顧客データ!$F$4:$F$1048576,"&lt;=2022/10/31",顧客データ!$R$4:$R$1048576,"=~150万円",顧客データ!$D$4:$D$1048576,"=*成約*")</f>
        <v>0</v>
      </c>
      <c r="Z50" s="13" t="e">
        <f t="shared" si="60"/>
        <v>#DIV/0!</v>
      </c>
      <c r="AA50" s="2">
        <f>COUNTIFS(顧客データ!$F$4:$F$1048576,"&gt;=2022/11/1",顧客データ!$F$4:$F$1048576,"&lt;=2022/11/30",顧客データ!$R$4:$R$1048576,"=~150万円",顧客データ!$J$4:$J$1048576,"&gt;=2022/11/1")</f>
        <v>1</v>
      </c>
      <c r="AB50" s="2">
        <f>COUNTIFS(顧客データ!$F$4:$F$1048576,"&gt;=2022/11/1",顧客データ!$F$4:$F$1048576,"&lt;=2022/11/30",顧客データ!$R$4:$R$1048576,"=~150万円",顧客データ!$D$4:$D$1048576,"=*成約*")</f>
        <v>0</v>
      </c>
      <c r="AC50" s="33">
        <f t="shared" si="61"/>
        <v>0</v>
      </c>
      <c r="AD50" s="2">
        <f>COUNTIFS(顧客データ!$F$4:$F$1048576,"&gt;=2022/12/1",顧客データ!$F$4:$F$1048576,"&lt;=2022/12/31",顧客データ!$R$4:$R$1048576,"=~150万円",顧客データ!$J$4:$J$1048576,"&gt;=2022/12/1")</f>
        <v>2</v>
      </c>
      <c r="AE50" s="2">
        <f>COUNTIFS(顧客データ!$F$4:$F$1048576,"&gt;=2022/12/1",顧客データ!$F$4:$F$1048576,"&lt;=2022/12/31",顧客データ!$R$4:$R$1048576,"=~150万円",顧客データ!$D$4:$D$1048576,"=*成約*")</f>
        <v>0</v>
      </c>
      <c r="AF50" s="34">
        <f t="shared" si="62"/>
        <v>0</v>
      </c>
      <c r="AG50" s="2">
        <f>COUNTIFS(顧客データ!$F$4:$F$1048576,"&gt;=2023/1/1",顧客データ!$F$4:$F$1048576,"&lt;=2023/1/31",顧客データ!$R$4:$R$1048576,"=~150万円",顧客データ!$J$4:$J$1048576,"&gt;=2023/1/1")</f>
        <v>4</v>
      </c>
      <c r="AH50" s="2">
        <f>COUNTIFS(顧客データ!$F$4:$F$1048576,"&gt;=2023/1/1",顧客データ!$F$4:$F$1048576,"&lt;=2023/1/31",顧客データ!$R$4:$R$1048576,"=~150万円",顧客データ!$D$4:$D$1048576,"=*成約*")</f>
        <v>0</v>
      </c>
      <c r="AI50" s="34">
        <f t="shared" ref="AI50:AI57" si="67">AH50/AG50</f>
        <v>0</v>
      </c>
      <c r="AJ50" s="2">
        <f>COUNTIFS(顧客データ!$F$4:$F$1048576,"&gt;=2023/2/1",顧客データ!$F$4:$F$1048576,"&lt;=2023/2/28",顧客データ!$R$4:$R$1048576,"=~150万円",顧客データ!$J$4:$J$1048576,"&gt;=2023/2/1")</f>
        <v>0</v>
      </c>
      <c r="AK50" s="2">
        <f>COUNTIFS(顧客データ!$F$4:$F$1048576,"&gt;=2023/2/1",顧客データ!$F$4:$F$1048576,"&lt;=2023/2/28",顧客データ!$R$4:$R$1048576,"=~150万円",顧客データ!$D$4:$D$1048576,"=*成約*")</f>
        <v>0</v>
      </c>
      <c r="AL50" s="34" t="e">
        <f t="shared" si="63"/>
        <v>#DIV/0!</v>
      </c>
      <c r="AM50" s="6">
        <f t="shared" si="64"/>
        <v>22</v>
      </c>
      <c r="AN50" s="6">
        <f t="shared" si="65"/>
        <v>6</v>
      </c>
      <c r="AO50" s="34">
        <f t="shared" si="66"/>
        <v>0.27272727272727271</v>
      </c>
    </row>
    <row r="51" spans="2:41" x14ac:dyDescent="0.5">
      <c r="B51" t="s">
        <v>108</v>
      </c>
      <c r="C51" s="2">
        <f>COUNTIFS(顧客データ!$F$4:$F$1048576,"&gt;=2022/3/1",顧客データ!$F$4:$F$1048576,"&lt;=2022/3/31",顧客データ!$R$4:$R$1048576,"=~200万円",顧客データ!$J$4:$J$1048576,"&gt;=2022/3/1")</f>
        <v>2</v>
      </c>
      <c r="D51" s="2">
        <f>COUNTIFS(顧客データ!$F$4:$F$1048576,"&gt;=2022/3/1",顧客データ!$F$4:$F$1048576,"&lt;=2022/3/31",顧客データ!$R$4:$R$1048576,"=~200万円",顧客データ!$D$4:$D$1048576,"=*成約*")</f>
        <v>0</v>
      </c>
      <c r="E51" s="13">
        <f t="shared" si="53"/>
        <v>0</v>
      </c>
      <c r="F51" s="2">
        <f>COUNTIFS(顧客データ!$F$4:$F$1048576,"&gt;=2022/4/1",顧客データ!$F$4:$F$1048576,"&lt;=2022/4/30",顧客データ!$R$4:$R$1048576,"=~200万円",顧客データ!$J$4:$J$1048576,"&gt;=2022/4/1")</f>
        <v>4</v>
      </c>
      <c r="G51" s="2">
        <f>COUNTIFS(顧客データ!$F$4:$F$1048576,"&gt;=2022/4/1",顧客データ!$F$4:$F$1048576,"&lt;=2022/4/30",顧客データ!$R$4:$R$1048576,"=~200万円",顧客データ!$D$4:$D$1048576,"=*成約*")</f>
        <v>3</v>
      </c>
      <c r="H51" s="13">
        <f t="shared" si="54"/>
        <v>0.75</v>
      </c>
      <c r="I51" s="2">
        <f>COUNTIFS(顧客データ!$F$4:$F$1048576,"&gt;=2022/5/1",顧客データ!$F$4:$F$1048576,"&lt;=2022/5/31",顧客データ!$R$4:$R$1048576,"=~200万円",顧客データ!$J$4:$J$1048576,"&gt;=2022/5/1")</f>
        <v>3</v>
      </c>
      <c r="J51" s="2">
        <f>COUNTIFS(顧客データ!$F$4:$F$1048576,"&gt;=2022/5/1",顧客データ!$F$4:$F$1048576,"&lt;=2022/5/31",顧客データ!$R$4:$R$1048576,"=~200万円",顧客データ!$D$4:$D$1048576,"=*成約*")</f>
        <v>0</v>
      </c>
      <c r="K51" s="13">
        <f t="shared" si="55"/>
        <v>0</v>
      </c>
      <c r="L51" s="2">
        <f>COUNTIFS(顧客データ!$F$4:$F$1048576,"&gt;=2022/6/1",顧客データ!$F$4:$F$1048576,"&lt;=2022/6/30",顧客データ!$R$4:$R$1048576,"=~200万円",顧客データ!$J$4:$J$1048576,"&gt;=2022/6/1")</f>
        <v>0</v>
      </c>
      <c r="M51" s="2">
        <f>COUNTIFS(顧客データ!$F$4:$F$1048576,"&gt;=2022/6/1",顧客データ!$F$4:$F$1048576,"&lt;=2022/6/30",顧客データ!$R$4:$R$1048576,"=~200万円",顧客データ!$D$4:$D$1048576,"=*成約*")</f>
        <v>0</v>
      </c>
      <c r="N51" s="13" t="e">
        <f t="shared" si="56"/>
        <v>#DIV/0!</v>
      </c>
      <c r="O51" s="2">
        <f>COUNTIFS(顧客データ!$F$4:$F$1048576,"&gt;=2022/7/1",顧客データ!$F$4:$F$1048576,"&lt;=2022/7/31",顧客データ!$R$4:$R$1048576,"=~200万円",顧客データ!$J$4:$J$1048576,"&gt;=2022/7/1")</f>
        <v>1</v>
      </c>
      <c r="P51" s="2">
        <f>COUNTIFS(顧客データ!$F$4:$F$1048576,"&gt;=2022/7/1",顧客データ!$F$4:$F$1048576,"&lt;=2022/7/31",顧客データ!$R$4:$R$1048576,"=~200万円",顧客データ!$D$4:$D$1048576,"=*成約*")</f>
        <v>0</v>
      </c>
      <c r="Q51" s="13">
        <f t="shared" si="57"/>
        <v>0</v>
      </c>
      <c r="R51" s="2">
        <f>COUNTIFS(顧客データ!$F$4:$F$1048576,"&gt;=2022/8/1",顧客データ!$F$4:$F$1048576,"&lt;=2022/8/31",顧客データ!$R$4:$R$1048576,"=~200万円",顧客データ!$J$4:$J$1048576,"&gt;=2022/8/1")</f>
        <v>2</v>
      </c>
      <c r="S51" s="2">
        <f>COUNTIFS(顧客データ!$F$4:$F$1048576,"&gt;=2022/8/1",顧客データ!$F$4:$F$1048576,"&lt;=2022/8/31",顧客データ!$R$4:$R$1048576,"=~200万円",顧客データ!$D$4:$D$1048576,"=*成約*")</f>
        <v>1</v>
      </c>
      <c r="T51" s="13">
        <f t="shared" si="58"/>
        <v>0.5</v>
      </c>
      <c r="U51" s="2">
        <f>COUNTIFS(顧客データ!$F$4:$F$1048576,"&gt;=2022/9/1",顧客データ!$F$4:$F$1048576,"&lt;=2022/9/30",顧客データ!$R$4:$R$1048576,"=~200万円",顧客データ!$J$4:$J$1048576,"&gt;=2022/9/1")</f>
        <v>2</v>
      </c>
      <c r="V51" s="2">
        <f>COUNTIFS(顧客データ!$F$4:$F$1048576,"&gt;=2022/9/1",顧客データ!$F$4:$F$1048576,"&lt;=2022/9/30",顧客データ!$R$4:$R$1048576,"=~200万円",顧客データ!$D$4:$D$1048576,"=*成約*")</f>
        <v>0</v>
      </c>
      <c r="W51" s="13">
        <f t="shared" si="59"/>
        <v>0</v>
      </c>
      <c r="X51" s="2">
        <f>COUNTIFS(顧客データ!$F$4:$F$1048576,"&gt;=2022/10/1",顧客データ!$F$4:$F$1048576,"&lt;=2022/10/31",顧客データ!$R$4:$R$1048576,"=~200万円",顧客データ!$J$4:$J$1048576,"&gt;=2022/10/1")</f>
        <v>2</v>
      </c>
      <c r="Y51" s="2">
        <f>COUNTIFS(顧客データ!$F$4:$F$1048576,"&gt;=2022/10/1",顧客データ!$F$4:$F$1048576,"&lt;=2022/10/31",顧客データ!$R$4:$R$1048576,"=~200万円",顧客データ!$D$4:$D$1048576,"=*成約*")</f>
        <v>0</v>
      </c>
      <c r="Z51" s="13">
        <f t="shared" si="60"/>
        <v>0</v>
      </c>
      <c r="AA51" s="2">
        <f>COUNTIFS(顧客データ!$F$4:$F$1048576,"&gt;=2022/11/1",顧客データ!$F$4:$F$1048576,"&lt;=2022/11/30",顧客データ!$R$4:$R$1048576,"=~200万円",顧客データ!$J$4:$J$1048576,"&gt;=2022/11/1")</f>
        <v>0</v>
      </c>
      <c r="AB51" s="2">
        <f>COUNTIFS(顧客データ!$F$4:$F$1048576,"&gt;=2022/11/1",顧客データ!$F$4:$F$1048576,"&lt;=2022/11/30",顧客データ!$R$4:$R$1048576,"=~200万円",顧客データ!$D$4:$D$1048576,"=*成約*")</f>
        <v>0</v>
      </c>
      <c r="AC51" s="33" t="e">
        <f t="shared" si="61"/>
        <v>#DIV/0!</v>
      </c>
      <c r="AD51" s="2">
        <f>COUNTIFS(顧客データ!$F$4:$F$1048576,"&gt;=2022/12/1",顧客データ!$F$4:$F$1048576,"&lt;=2022/12/31",顧客データ!$R$4:$R$1048576,"=~200万円",顧客データ!$J$4:$J$1048576,"&gt;=2022/12/1")</f>
        <v>1</v>
      </c>
      <c r="AE51" s="2">
        <f>COUNTIFS(顧客データ!$F$4:$F$1048576,"&gt;=2022/12/1",顧客データ!$F$4:$F$1048576,"&lt;=2022/12/31",顧客データ!$R$4:$R$1048576,"=~200万円",顧客データ!$D$4:$D$1048576,"=*成約*")</f>
        <v>1</v>
      </c>
      <c r="AF51" s="34">
        <f t="shared" si="62"/>
        <v>1</v>
      </c>
      <c r="AG51" s="2">
        <f>COUNTIFS(顧客データ!$F$4:$F$1048576,"&gt;=2023/1/1",顧客データ!$F$4:$F$1048576,"&lt;=2023/1/31",顧客データ!$R$4:$R$1048576,"=~200万円",顧客データ!$J$4:$J$1048576,"&gt;=2023/1/1")</f>
        <v>1</v>
      </c>
      <c r="AH51" s="2">
        <f>COUNTIFS(顧客データ!$F$4:$F$1048576,"&gt;=2023/1/1",顧客データ!$F$4:$F$1048576,"&lt;=2023/1/31",顧客データ!$R$4:$R$1048576,"=~200万円",顧客データ!$D$4:$D$1048576,"=*成約*")</f>
        <v>0</v>
      </c>
      <c r="AI51" s="34">
        <f t="shared" si="67"/>
        <v>0</v>
      </c>
      <c r="AJ51" s="2">
        <f>COUNTIFS(顧客データ!$F$4:$F$1048576,"&gt;=2023/2/1",顧客データ!$F$4:$F$1048576,"&lt;=2023/2/28",顧客データ!$R$4:$R$1048576,"=~200万円",顧客データ!$J$4:$J$1048576,"&gt;=2023/2/1")</f>
        <v>0</v>
      </c>
      <c r="AK51" s="2">
        <f>COUNTIFS(顧客データ!$F$4:$F$1048576,"&gt;=2023/2/1",顧客データ!$F$4:$F$1048576,"&lt;=2023/2/28",顧客データ!$R$4:$R$1048576,"=~200万円",顧客データ!$D$4:$D$1048576,"=*成約*")</f>
        <v>0</v>
      </c>
      <c r="AL51" s="34" t="e">
        <f t="shared" si="63"/>
        <v>#DIV/0!</v>
      </c>
      <c r="AM51" s="6">
        <f t="shared" si="64"/>
        <v>18</v>
      </c>
      <c r="AN51" s="6">
        <f>D51+G51+J51+M51+P51+S51+V51+Y51+AB51+AE51+AH51+AK51</f>
        <v>5</v>
      </c>
      <c r="AO51" s="34">
        <f t="shared" si="66"/>
        <v>0.27777777777777779</v>
      </c>
    </row>
    <row r="52" spans="2:41" x14ac:dyDescent="0.5">
      <c r="B52" t="s">
        <v>109</v>
      </c>
      <c r="C52" s="2">
        <f>COUNTIFS(顧客データ!$F$4:$F$1048576,"&gt;=2022/3/1",顧客データ!$F$4:$F$1048576,"&lt;=2022/3/31",顧客データ!$R$4:$R$1048576,"=~250万円",顧客データ!$J$4:$J$1048576,"&gt;=2022/3/1")</f>
        <v>0</v>
      </c>
      <c r="D52" s="2">
        <f>COUNTIFS(顧客データ!$F$4:$F$1048576,"&gt;=2022/3/1",顧客データ!$F$4:$F$1048576,"&lt;=2022/3/31",顧客データ!$R$4:$R$1048576,"=~250万円",顧客データ!$D$4:$D$1048576,"=*成約*")</f>
        <v>0</v>
      </c>
      <c r="E52" s="13" t="e">
        <f t="shared" si="53"/>
        <v>#DIV/0!</v>
      </c>
      <c r="F52" s="2">
        <f>COUNTIFS(顧客データ!$F$4:$F$1048576,"&gt;=2022/4/1",顧客データ!$F$4:$F$1048576,"&lt;=2022/4/30",顧客データ!$R$4:$R$1048576,"=~250万円",顧客データ!$J$4:$J$1048576,"&gt;=2022/4/1")</f>
        <v>1</v>
      </c>
      <c r="G52" s="2">
        <f>COUNTIFS(顧客データ!$F$4:$F$1048576,"&gt;=2022/4/1",顧客データ!$F$4:$F$1048576,"&lt;=2022/4/30",顧客データ!$R$4:$R$1048576,"=~250万円",顧客データ!$D$4:$D$1048576,"=*成約*")</f>
        <v>0</v>
      </c>
      <c r="H52" s="13">
        <f t="shared" si="54"/>
        <v>0</v>
      </c>
      <c r="I52" s="2">
        <f>COUNTIFS(顧客データ!$F$4:$F$1048576,"&gt;=2022/5/1",顧客データ!$F$4:$F$1048576,"&lt;=2022/5/31",顧客データ!$R$4:$R$1048576,"=~250万円",顧客データ!$J$4:$J$1048576,"&gt;=2022/5/1")</f>
        <v>2</v>
      </c>
      <c r="J52" s="2">
        <f>COUNTIFS(顧客データ!$F$4:$F$1048576,"&gt;=2022/5/1",顧客データ!$F$4:$F$1048576,"&lt;=2022/5/31",顧客データ!$R$4:$R$1048576,"=~250万円",顧客データ!$D$4:$D$1048576,"=*成約*")</f>
        <v>1</v>
      </c>
      <c r="K52" s="13">
        <f t="shared" si="55"/>
        <v>0.5</v>
      </c>
      <c r="L52" s="2">
        <f>COUNTIFS(顧客データ!$F$4:$F$1048576,"&gt;=2022/6/1",顧客データ!$F$4:$F$1048576,"&lt;=2022/6/30",顧客データ!$R$4:$R$1048576,"=~250万円",顧客データ!$J$4:$J$1048576,"&gt;=2022/6/1")</f>
        <v>0</v>
      </c>
      <c r="M52" s="2">
        <f>COUNTIFS(顧客データ!$F$4:$F$1048576,"&gt;=2022/6/1",顧客データ!$F$4:$F$1048576,"&lt;=2022/6/30",顧客データ!$R$4:$R$1048576,"=~250万円",顧客データ!$D$4:$D$1048576,"=*成約*")</f>
        <v>0</v>
      </c>
      <c r="N52" s="13" t="e">
        <f t="shared" si="56"/>
        <v>#DIV/0!</v>
      </c>
      <c r="O52" s="2">
        <f>COUNTIFS(顧客データ!$F$4:$F$1048576,"&gt;=2022/7/1",顧客データ!$F$4:$F$1048576,"&lt;=2022/7/31",顧客データ!$R$4:$R$1048576,"=~250万円",顧客データ!$J$4:$J$1048576,"&gt;=2022/7/1")</f>
        <v>4</v>
      </c>
      <c r="P52" s="2">
        <f>COUNTIFS(顧客データ!$F$4:$F$1048576,"&gt;=2022/7/1",顧客データ!$F$4:$F$1048576,"&lt;=2022/7/31",顧客データ!$R$4:$R$1048576,"=~250万円",顧客データ!$D$4:$D$1048576,"=*成約*")</f>
        <v>2</v>
      </c>
      <c r="Q52" s="13">
        <f t="shared" si="57"/>
        <v>0.5</v>
      </c>
      <c r="R52" s="2">
        <f>COUNTIFS(顧客データ!$F$4:$F$1048576,"&gt;=2022/8/1",顧客データ!$F$4:$F$1048576,"&lt;=2022/8/31",顧客データ!$R$4:$R$1048576,"=~250万円",顧客データ!$J$4:$J$1048576,"&gt;=2022/8/1")</f>
        <v>0</v>
      </c>
      <c r="S52" s="2">
        <f>COUNTIFS(顧客データ!$F$4:$F$1048576,"&gt;=2022/8/1",顧客データ!$F$4:$F$1048576,"&lt;=2022/8/31",顧客データ!$R$4:$R$1048576,"=~250万円",顧客データ!$D$4:$D$1048576,"=*成約*")</f>
        <v>0</v>
      </c>
      <c r="T52" s="13" t="e">
        <f t="shared" si="58"/>
        <v>#DIV/0!</v>
      </c>
      <c r="U52" s="2">
        <f>COUNTIFS(顧客データ!$F$4:$F$1048576,"&gt;=2022/9/1",顧客データ!$F$4:$F$1048576,"&lt;=2022/9/30",顧客データ!$R$4:$R$1048576,"=~250万円",顧客データ!$J$4:$J$1048576,"&gt;=2022/9/1")</f>
        <v>1</v>
      </c>
      <c r="V52" s="2">
        <f>COUNTIFS(顧客データ!$F$4:$F$1048576,"&gt;=2022/9/1",顧客データ!$F$4:$F$1048576,"&lt;=2022/9/30",顧客データ!$R$4:$R$1048576,"=~250万円",顧客データ!$D$4:$D$1048576,"=*成約*")</f>
        <v>0</v>
      </c>
      <c r="W52" s="13">
        <f t="shared" si="59"/>
        <v>0</v>
      </c>
      <c r="X52" s="2">
        <f>COUNTIFS(顧客データ!$F$4:$F$1048576,"&gt;=2022/10/1",顧客データ!$F$4:$F$1048576,"&lt;=2022/10/31",顧客データ!$R$4:$R$1048576,"=~250万円",顧客データ!$J$4:$J$1048576,"&gt;=2022/10/1")</f>
        <v>3</v>
      </c>
      <c r="Y52" s="2">
        <f>COUNTIFS(顧客データ!$F$4:$F$1048576,"&gt;=2022/10/1",顧客データ!$F$4:$F$1048576,"&lt;=2022/10/31",顧客データ!$R$4:$R$1048576,"=~250万円",顧客データ!$D$4:$D$1048576,"=*成約*")</f>
        <v>1</v>
      </c>
      <c r="Z52" s="13">
        <f t="shared" si="60"/>
        <v>0.33333333333333331</v>
      </c>
      <c r="AA52" s="2">
        <f>COUNTIFS(顧客データ!$F$4:$F$1048576,"&gt;=2022/11/1",顧客データ!$F$4:$F$1048576,"&lt;=2022/11/30",顧客データ!$R$4:$R$1048576,"=~250万円",顧客データ!$J$4:$J$1048576,"&gt;=2022/11/1")</f>
        <v>2</v>
      </c>
      <c r="AB52" s="2">
        <f>COUNTIFS(顧客データ!$F$4:$F$1048576,"&gt;=2022/11/1",顧客データ!$F$4:$F$1048576,"&lt;=2022/11/30",顧客データ!$R$4:$R$1048576,"=~250万円",顧客データ!$D$4:$D$1048576,"=*成約*")</f>
        <v>1</v>
      </c>
      <c r="AC52" s="33">
        <f t="shared" si="61"/>
        <v>0.5</v>
      </c>
      <c r="AD52" s="2">
        <f>COUNTIFS(顧客データ!$F$4:$F$1048576,"&gt;=2022/12/1",顧客データ!$F$4:$F$1048576,"&lt;=2022/12/31",顧客データ!$R$4:$R$1048576,"=~250万円",顧客データ!$J$4:$J$1048576,"&gt;=2022/12/1")</f>
        <v>0</v>
      </c>
      <c r="AE52" s="2">
        <f>COUNTIFS(顧客データ!$F$4:$F$1048576,"&gt;=2022/12/1",顧客データ!$F$4:$F$1048576,"&lt;=2022/12/31",顧客データ!$R$4:$R$1048576,"=~250万円",顧客データ!$D$4:$D$1048576,"=*成約*")</f>
        <v>0</v>
      </c>
      <c r="AF52" s="34" t="e">
        <f t="shared" si="62"/>
        <v>#DIV/0!</v>
      </c>
      <c r="AG52" s="2">
        <f>COUNTIFS(顧客データ!$F$4:$F$1048576,"&gt;=2023/1/1",顧客データ!$F$4:$F$1048576,"&lt;=2023/1/31",顧客データ!$R$4:$R$1048576,"=~250万円",顧客データ!$J$4:$J$1048576,"&gt;=2023/1/1")</f>
        <v>2</v>
      </c>
      <c r="AH52" s="2">
        <f>COUNTIFS(顧客データ!$F$4:$F$1048576,"&gt;=2023/1/1",顧客データ!$F$4:$F$1048576,"&lt;=2023/1/31",顧客データ!$R$4:$R$1048576,"=~250万円",顧客データ!$D$4:$D$1048576,"=*成約*")</f>
        <v>1</v>
      </c>
      <c r="AI52" s="34">
        <f t="shared" si="67"/>
        <v>0.5</v>
      </c>
      <c r="AJ52" s="2">
        <f>COUNTIFS(顧客データ!$F$4:$F$1048576,"&gt;=2023/2/1",顧客データ!$F$4:$F$1048576,"&lt;=2023/2/28",顧客データ!$R$4:$R$1048576,"=~250万円",顧客データ!$J$4:$J$1048576,"&gt;=2023/2/1")</f>
        <v>0</v>
      </c>
      <c r="AK52" s="2">
        <f>COUNTIFS(顧客データ!$F$4:$F$1048576,"&gt;=2023/2/1",顧客データ!$F$4:$F$1048576,"&lt;=2023/2/28",顧客データ!$R$4:$R$1048576,"=~250万円",顧客データ!$D$4:$D$1048576,"=*成約*")</f>
        <v>0</v>
      </c>
      <c r="AL52" s="34" t="e">
        <f t="shared" si="63"/>
        <v>#DIV/0!</v>
      </c>
      <c r="AM52" s="6">
        <f t="shared" si="64"/>
        <v>15</v>
      </c>
      <c r="AN52" s="6">
        <f t="shared" si="65"/>
        <v>6</v>
      </c>
      <c r="AO52" s="34">
        <f t="shared" si="66"/>
        <v>0.4</v>
      </c>
    </row>
    <row r="53" spans="2:41" x14ac:dyDescent="0.5">
      <c r="B53" t="s">
        <v>110</v>
      </c>
      <c r="C53" s="2">
        <f>COUNTIFS(顧客データ!$F$4:$F$1048576,"&gt;=2022/3/1",顧客データ!$F$4:$F$1048576,"&lt;=2022/3/31",顧客データ!$R$4:$R$1048576,"=~300万円",顧客データ!$J$4:$J$1048576,"&gt;=2022/3/1")</f>
        <v>0</v>
      </c>
      <c r="D53" s="2">
        <f>COUNTIFS(顧客データ!$F$4:$F$1048576,"&gt;=2022/3/1",顧客データ!$F$4:$F$1048576,"&lt;=2022/3/31",顧客データ!$R$4:$R$1048576,"=~300万円",顧客データ!$D$4:$D$1048576,"=*成約*")</f>
        <v>0</v>
      </c>
      <c r="E53" s="13" t="e">
        <f t="shared" si="53"/>
        <v>#DIV/0!</v>
      </c>
      <c r="F53" s="2">
        <f>COUNTIFS(顧客データ!$F$4:$F$1048576,"&gt;=2022/4/1",顧客データ!$F$4:$F$1048576,"&lt;=2022/4/30",顧客データ!$R$4:$R$1048576,"=~300万円",顧客データ!$J$4:$J$1048576,"&gt;=2022/4/1")</f>
        <v>3</v>
      </c>
      <c r="G53" s="2">
        <f>COUNTIFS(顧客データ!$F$4:$F$1048576,"&gt;=2022/4/1",顧客データ!$F$4:$F$1048576,"&lt;=2022/4/30",顧客データ!$R$4:$R$1048576,"=~300万円",顧客データ!$D$4:$D$1048576,"=*成約*")</f>
        <v>1</v>
      </c>
      <c r="H53" s="13">
        <f t="shared" si="54"/>
        <v>0.33333333333333331</v>
      </c>
      <c r="I53" s="2">
        <f>COUNTIFS(顧客データ!$F$4:$F$1048576,"&gt;=2022/5/1",顧客データ!$F$4:$F$1048576,"&lt;=2022/5/31",顧客データ!$R$4:$R$1048576,"=~300万円",顧客データ!$J$4:$J$1048576,"&gt;=2022/5/1")</f>
        <v>1</v>
      </c>
      <c r="J53" s="2">
        <f>COUNTIFS(顧客データ!$F$4:$F$1048576,"&gt;=2022/5/1",顧客データ!$F$4:$F$1048576,"&lt;=2022/5/31",顧客データ!$R$4:$R$1048576,"=~300万円",顧客データ!$D$4:$D$1048576,"=*成約*")</f>
        <v>0</v>
      </c>
      <c r="K53" s="13">
        <f t="shared" si="55"/>
        <v>0</v>
      </c>
      <c r="L53" s="2">
        <f>COUNTIFS(顧客データ!$F$4:$F$1048576,"&gt;=2022/6/1",顧客データ!$F$4:$F$1048576,"&lt;=2022/6/30",顧客データ!$R$4:$R$1048576,"=~300万円",顧客データ!$J$4:$J$1048576,"&gt;=2022/6/1")</f>
        <v>2</v>
      </c>
      <c r="M53" s="2">
        <f>COUNTIFS(顧客データ!$F$4:$F$1048576,"&gt;=2022/6/1",顧客データ!$F$4:$F$1048576,"&lt;=2022/6/30",顧客データ!$R$4:$R$1048576,"=~300万円",顧客データ!$D$4:$D$1048576,"=*成約*")</f>
        <v>2</v>
      </c>
      <c r="N53" s="13">
        <f t="shared" si="56"/>
        <v>1</v>
      </c>
      <c r="O53" s="2">
        <f>COUNTIFS(顧客データ!$F$4:$F$1048576,"&gt;=2022/7/1",顧客データ!$F$4:$F$1048576,"&lt;=2022/7/31",顧客データ!$R$4:$R$1048576,"=~300万円",顧客データ!$J$4:$J$1048576,"&gt;=2022/7/1")</f>
        <v>0</v>
      </c>
      <c r="P53" s="2">
        <f>COUNTIFS(顧客データ!$F$4:$F$1048576,"&gt;=2022/7/1",顧客データ!$F$4:$F$1048576,"&lt;=2022/7/31",顧客データ!$R$4:$R$1048576,"=~300万円",顧客データ!$D$4:$D$1048576,"=*成約*")</f>
        <v>0</v>
      </c>
      <c r="Q53" s="13" t="e">
        <f t="shared" si="57"/>
        <v>#DIV/0!</v>
      </c>
      <c r="R53" s="2">
        <f>COUNTIFS(顧客データ!$F$4:$F$1048576,"&gt;=2022/8/1",顧客データ!$F$4:$F$1048576,"&lt;=2022/8/31",顧客データ!$R$4:$R$1048576,"=~300万円",顧客データ!$J$4:$J$1048576,"&gt;=2022/8/1")</f>
        <v>0</v>
      </c>
      <c r="S53" s="2">
        <f>COUNTIFS(顧客データ!$F$4:$F$1048576,"&gt;=2022/8/1",顧客データ!$F$4:$F$1048576,"&lt;=2022/8/31",顧客データ!$R$4:$R$1048576,"=~300万円",顧客データ!$D$4:$D$1048576,"=*成約*")</f>
        <v>0</v>
      </c>
      <c r="T53" s="13" t="e">
        <f t="shared" si="58"/>
        <v>#DIV/0!</v>
      </c>
      <c r="U53" s="2">
        <f>COUNTIFS(顧客データ!$F$4:$F$1048576,"&gt;=2022/9/1",顧客データ!$F$4:$F$1048576,"&lt;=2022/9/30",顧客データ!$R$4:$R$1048576,"=~300万円",顧客データ!$J$4:$J$1048576,"&gt;=2022/9/1")</f>
        <v>2</v>
      </c>
      <c r="V53" s="2">
        <f>COUNTIFS(顧客データ!$F$4:$F$1048576,"&gt;=2022/9/1",顧客データ!$F$4:$F$1048576,"&lt;=2022/9/30",顧客データ!$R$4:$R$1048576,"=~300万円",顧客データ!$D$4:$D$1048576,"=*成約*")</f>
        <v>1</v>
      </c>
      <c r="W53" s="13">
        <f t="shared" si="59"/>
        <v>0.5</v>
      </c>
      <c r="X53" s="2">
        <f>COUNTIFS(顧客データ!$F$4:$F$1048576,"&gt;=2022/10/1",顧客データ!$F$4:$F$1048576,"&lt;=2022/10/31",顧客データ!$R$4:$R$1048576,"=~300万円",顧客データ!$J$4:$J$1048576,"&gt;=2022/10/1")</f>
        <v>3</v>
      </c>
      <c r="Y53" s="2">
        <f>COUNTIFS(顧客データ!$F$4:$F$1048576,"&gt;=2022/10/1",顧客データ!$F$4:$F$1048576,"&lt;=2022/10/31",顧客データ!$R$4:$R$1048576,"=~300万円",顧客データ!$D$4:$D$1048576,"=*成約*")</f>
        <v>0</v>
      </c>
      <c r="Z53" s="13">
        <f t="shared" si="60"/>
        <v>0</v>
      </c>
      <c r="AA53" s="2">
        <f>COUNTIFS(顧客データ!$F$4:$F$1048576,"&gt;=2022/11/1",顧客データ!$F$4:$F$1048576,"&lt;=2022/11/30",顧客データ!$R$4:$R$1048576,"=~300万円",顧客データ!$J$4:$J$1048576,"&gt;=2022/11/1")</f>
        <v>1</v>
      </c>
      <c r="AB53" s="2">
        <f>COUNTIFS(顧客データ!$F$4:$F$1048576,"&gt;=2022/11/1",顧客データ!$F$4:$F$1048576,"&lt;=2022/11/30",顧客データ!$R$4:$R$1048576,"=~300万円",顧客データ!$D$4:$D$1048576,"=*成約*")</f>
        <v>0</v>
      </c>
      <c r="AC53" s="33">
        <f t="shared" si="61"/>
        <v>0</v>
      </c>
      <c r="AD53" s="2">
        <f>COUNTIFS(顧客データ!$F$4:$F$1048576,"&gt;=2022/12/1",顧客データ!$F$4:$F$1048576,"&lt;=2022/12/31",顧客データ!$R$4:$R$1048576,"=~300万円",顧客データ!$J$4:$J$1048576,"&gt;=2022/12/1")</f>
        <v>0</v>
      </c>
      <c r="AE53" s="2">
        <f>COUNTIFS(顧客データ!$F$4:$F$1048576,"&gt;=2022/12/1",顧客データ!$F$4:$F$1048576,"&lt;=2022/12/31",顧客データ!$R$4:$R$1048576,"=~300万円",顧客データ!$D$4:$D$1048576,"=*成約*")</f>
        <v>0</v>
      </c>
      <c r="AF53" s="34" t="e">
        <f t="shared" si="62"/>
        <v>#DIV/0!</v>
      </c>
      <c r="AG53" s="2">
        <f>COUNTIFS(顧客データ!$F$4:$F$1048576,"&gt;=2023/1/1",顧客データ!$F$4:$F$1048576,"&lt;=2023/1/31",顧客データ!$R$4:$R$1048576,"=~300万円",顧客データ!$J$4:$J$1048576,"&gt;=2023/1/1")</f>
        <v>3</v>
      </c>
      <c r="AH53" s="2">
        <f>COUNTIFS(顧客データ!$F$4:$F$1048576,"&gt;=2023/1/1",顧客データ!$F$4:$F$1048576,"&lt;=2023/1/31",顧客データ!$R$4:$R$1048576,"=~300万円",顧客データ!$D$4:$D$1048576,"=*成約*")</f>
        <v>0</v>
      </c>
      <c r="AI53" s="34">
        <f t="shared" si="67"/>
        <v>0</v>
      </c>
      <c r="AJ53" s="2">
        <f>COUNTIFS(顧客データ!$F$4:$F$1048576,"&gt;=2023/2/1",顧客データ!$F$4:$F$1048576,"&lt;=2023/2/28",顧客データ!$R$4:$R$1048576,"=~300万円",顧客データ!$J$4:$J$1048576,"&gt;=2023/2/1")</f>
        <v>0</v>
      </c>
      <c r="AK53" s="2">
        <f>COUNTIFS(顧客データ!$F$4:$F$1048576,"&gt;=2023/2/1",顧客データ!$F$4:$F$1048576,"&lt;=2023/2/28",顧客データ!$R$4:$R$1048576,"=~300万円",顧客データ!$D$4:$D$1048576,"=*成約*")</f>
        <v>0</v>
      </c>
      <c r="AL53" s="34" t="e">
        <f t="shared" si="63"/>
        <v>#DIV/0!</v>
      </c>
      <c r="AM53" s="6">
        <f t="shared" si="64"/>
        <v>15</v>
      </c>
      <c r="AN53" s="6">
        <f t="shared" si="65"/>
        <v>4</v>
      </c>
      <c r="AO53" s="34">
        <f t="shared" si="66"/>
        <v>0.26666666666666666</v>
      </c>
    </row>
    <row r="54" spans="2:41" x14ac:dyDescent="0.5">
      <c r="B54" t="s">
        <v>111</v>
      </c>
      <c r="C54" s="2">
        <f>COUNTIFS(顧客データ!$F$4:$F$1048576,"&gt;=2022/3/1",顧客データ!$F$4:$F$1048576,"&lt;=2022/3/31",顧客データ!$R$4:$R$1048576,"=~350万円",顧客データ!$J$4:$J$1048576,"&gt;=2022/3/1")</f>
        <v>1</v>
      </c>
      <c r="D54" s="2">
        <f>COUNTIFS(顧客データ!$F$4:$F$1048576,"&gt;=2022/3/1",顧客データ!$F$4:$F$1048576,"&lt;=2022/3/31",顧客データ!$R$4:$R$1048576,"=~350万円",顧客データ!$D$4:$D$1048576,"=*成約*")</f>
        <v>0</v>
      </c>
      <c r="E54" s="13">
        <f t="shared" si="53"/>
        <v>0</v>
      </c>
      <c r="F54" s="2">
        <f>COUNTIFS(顧客データ!$F$4:$F$1048576,"&gt;=2022/4/1",顧客データ!$F$4:$F$1048576,"&lt;=2022/4/30",顧客データ!$R$4:$R$1048576,"=~350万円",顧客データ!$J$4:$J$1048576,"&gt;=2022/4/1")</f>
        <v>0</v>
      </c>
      <c r="G54" s="2">
        <f>COUNTIFS(顧客データ!$F$4:$F$1048576,"&gt;=2022/4/1",顧客データ!$F$4:$F$1048576,"&lt;=2022/4/30",顧客データ!$R$4:$R$1048576,"=~350万円",顧客データ!$D$4:$D$1048576,"=*成約*")</f>
        <v>0</v>
      </c>
      <c r="H54" s="13" t="e">
        <f t="shared" si="54"/>
        <v>#DIV/0!</v>
      </c>
      <c r="I54" s="2">
        <f>COUNTIFS(顧客データ!$F$4:$F$1048576,"&gt;=2022/5/1",顧客データ!$F$4:$F$1048576,"&lt;=2022/5/31",顧客データ!$R$4:$R$1048576,"=~350万円",顧客データ!$J$4:$J$1048576,"&gt;=2022/5/1")</f>
        <v>0</v>
      </c>
      <c r="J54" s="2">
        <f>COUNTIFS(顧客データ!$F$4:$F$1048576,"&gt;=2022/5/1",顧客データ!$F$4:$F$1048576,"&lt;=2022/5/31",顧客データ!$R$4:$R$1048576,"=~350万円",顧客データ!$D$4:$D$1048576,"=*成約*")</f>
        <v>0</v>
      </c>
      <c r="K54" s="13" t="e">
        <f t="shared" si="55"/>
        <v>#DIV/0!</v>
      </c>
      <c r="L54" s="2">
        <f>COUNTIFS(顧客データ!$F$4:$F$1048576,"&gt;=2022/6/1",顧客データ!$F$4:$F$1048576,"&lt;=2022/6/30",顧客データ!$R$4:$R$1048576,"=~350万円",顧客データ!$J$4:$J$1048576,"&gt;=2022/6/1")</f>
        <v>0</v>
      </c>
      <c r="M54" s="2">
        <f>COUNTIFS(顧客データ!$F$4:$F$1048576,"&gt;=2022/6/1",顧客データ!$F$4:$F$1048576,"&lt;=2022/6/30",顧客データ!$R$4:$R$1048576,"=~350万円",顧客データ!$D$4:$D$1048576,"=*成約*")</f>
        <v>0</v>
      </c>
      <c r="N54" s="13" t="e">
        <f t="shared" si="56"/>
        <v>#DIV/0!</v>
      </c>
      <c r="O54" s="2">
        <f>COUNTIFS(顧客データ!$F$4:$F$1048576,"&gt;=2022/7/1",顧客データ!$F$4:$F$1048576,"&lt;=2022/7/31",顧客データ!$R$4:$R$1048576,"=~350万円",顧客データ!$J$4:$J$1048576,"&gt;=2022/7/1")</f>
        <v>1</v>
      </c>
      <c r="P54" s="2">
        <f>COUNTIFS(顧客データ!$F$4:$F$1048576,"&gt;=2022/7/1",顧客データ!$F$4:$F$1048576,"&lt;=2022/7/31",顧客データ!$R$4:$R$1048576,"=~350万円",顧客データ!$D$4:$D$1048576,"=*成約*")</f>
        <v>1</v>
      </c>
      <c r="Q54" s="13">
        <f t="shared" si="57"/>
        <v>1</v>
      </c>
      <c r="R54" s="2">
        <f>COUNTIFS(顧客データ!$F$4:$F$1048576,"&gt;=2022/8/1",顧客データ!$F$4:$F$1048576,"&lt;=2022/8/31",顧客データ!$R$4:$R$1048576,"=~350万円",顧客データ!$J$4:$J$1048576,"&gt;=2022/8/1")</f>
        <v>0</v>
      </c>
      <c r="S54" s="2">
        <f>COUNTIFS(顧客データ!$F$4:$F$1048576,"&gt;=2022/8/1",顧客データ!$F$4:$F$1048576,"&lt;=2022/8/31",顧客データ!$R$4:$R$1048576,"=~350万円",顧客データ!$D$4:$D$1048576,"=*成約*")</f>
        <v>0</v>
      </c>
      <c r="T54" s="13" t="e">
        <f t="shared" si="58"/>
        <v>#DIV/0!</v>
      </c>
      <c r="U54" s="2">
        <f>COUNTIFS(顧客データ!$F$4:$F$1048576,"&gt;=2022/9/1",顧客データ!$F$4:$F$1048576,"&lt;=2022/9/30",顧客データ!$R$4:$R$1048576,"=~350万円",顧客データ!$J$4:$J$1048576,"&gt;=2022/9/1")</f>
        <v>1</v>
      </c>
      <c r="V54" s="2">
        <f>COUNTIFS(顧客データ!$F$4:$F$1048576,"&gt;=2022/9/1",顧客データ!$F$4:$F$1048576,"&lt;=2022/9/30",顧客データ!$R$4:$R$1048576,"=~350万円",顧客データ!$D$4:$D$1048576,"=*成約*")</f>
        <v>1</v>
      </c>
      <c r="W54" s="13">
        <f t="shared" si="59"/>
        <v>1</v>
      </c>
      <c r="X54" s="2">
        <f>COUNTIFS(顧客データ!$F$4:$F$1048576,"&gt;=2022/10/1",顧客データ!$F$4:$F$1048576,"&lt;=2022/10/31",顧客データ!$R$4:$R$1048576,"=~350万円",顧客データ!$J$4:$J$1048576,"&gt;=2022/10/1")</f>
        <v>0</v>
      </c>
      <c r="Y54" s="2">
        <f>COUNTIFS(顧客データ!$F$4:$F$1048576,"&gt;=2022/10/1",顧客データ!$F$4:$F$1048576,"&lt;=2022/10/31",顧客データ!$R$4:$R$1048576,"=~350万円",顧客データ!$D$4:$D$1048576,"=*成約*")</f>
        <v>0</v>
      </c>
      <c r="Z54" s="13" t="e">
        <f t="shared" si="60"/>
        <v>#DIV/0!</v>
      </c>
      <c r="AA54" s="2">
        <f>COUNTIFS(顧客データ!$F$4:$F$1048576,"&gt;=2022/11/1",顧客データ!$F$4:$F$1048576,"&lt;=2022/11/30",顧客データ!$R$4:$R$1048576,"=~350万円",顧客データ!$J$4:$J$1048576,"&gt;=2022/11/1")</f>
        <v>3</v>
      </c>
      <c r="AB54" s="2">
        <f>COUNTIFS(顧客データ!$F$4:$F$1048576,"&gt;=2022/11/1",顧客データ!$F$4:$F$1048576,"&lt;=2022/11/30",顧客データ!$R$4:$R$1048576,"=~350万円",顧客データ!$D$4:$D$1048576,"=*成約*")</f>
        <v>1</v>
      </c>
      <c r="AC54" s="33">
        <f t="shared" si="61"/>
        <v>0.33333333333333331</v>
      </c>
      <c r="AD54" s="2">
        <f>COUNTIFS(顧客データ!$F$4:$F$1048576,"&gt;=2022/12/1",顧客データ!$F$4:$F$1048576,"&lt;=2022/12/31",顧客データ!$R$4:$R$1048576,"=~350万円",顧客データ!$J$4:$J$1048576,"&gt;=2022/12/1")</f>
        <v>1</v>
      </c>
      <c r="AE54" s="2">
        <f>COUNTIFS(顧客データ!$F$4:$F$1048576,"&gt;=2022/12/1",顧客データ!$F$4:$F$1048576,"&lt;=2022/12/31",顧客データ!$R$4:$R$1048576,"=~350万円",顧客データ!$D$4:$D$1048576,"=*成約*")</f>
        <v>0</v>
      </c>
      <c r="AF54" s="34">
        <f t="shared" si="62"/>
        <v>0</v>
      </c>
      <c r="AG54" s="2">
        <f>COUNTIFS(顧客データ!$F$4:$F$1048576,"&gt;=2023/1/1",顧客データ!$F$4:$F$1048576,"&lt;=2023/1/31",顧客データ!$R$4:$R$1048576,"=~350万円",顧客データ!$J$4:$J$1048576,"&gt;=2023/1/1")</f>
        <v>0</v>
      </c>
      <c r="AH54" s="2">
        <f>COUNTIFS(顧客データ!$F$4:$F$1048576,"&gt;=2023/1/1",顧客データ!$F$4:$F$1048576,"&lt;=2023/1/31",顧客データ!$R$4:$R$1048576,"=~350万円",顧客データ!$D$4:$D$1048576,"=*成約*")</f>
        <v>0</v>
      </c>
      <c r="AI54" s="34" t="e">
        <f t="shared" si="67"/>
        <v>#DIV/0!</v>
      </c>
      <c r="AJ54" s="2">
        <f>COUNTIFS(顧客データ!$F$4:$F$1048576,"&gt;=2023/2/1",顧客データ!$F$4:$F$1048576,"&lt;=2023/2/28",顧客データ!$R$4:$R$1048576,"=~350万円",顧客データ!$J$4:$J$1048576,"&gt;=2023/2/1")</f>
        <v>0</v>
      </c>
      <c r="AK54" s="2">
        <f>COUNTIFS(顧客データ!$F$4:$F$1048576,"&gt;=2023/2/1",顧客データ!$F$4:$F$1048576,"&lt;=2023/2/28",顧客データ!$R$4:$R$1048576,"=~350万円",顧客データ!$D$4:$D$1048576,"=*成約*")</f>
        <v>0</v>
      </c>
      <c r="AL54" s="34" t="e">
        <f t="shared" si="63"/>
        <v>#DIV/0!</v>
      </c>
      <c r="AM54" s="6">
        <f t="shared" si="64"/>
        <v>7</v>
      </c>
      <c r="AN54" s="6">
        <f t="shared" si="65"/>
        <v>3</v>
      </c>
      <c r="AO54" s="34">
        <f t="shared" si="66"/>
        <v>0.42857142857142855</v>
      </c>
    </row>
    <row r="55" spans="2:41" x14ac:dyDescent="0.5">
      <c r="B55" t="s">
        <v>112</v>
      </c>
      <c r="C55" s="2">
        <f>COUNTIFS(顧客データ!$F$4:$F$1048576,"&gt;=2022/3/1",顧客データ!$F$4:$F$1048576,"&lt;=2022/3/31",顧客データ!$R$4:$R$1048576,"=~400万円",顧客データ!$J$4:$J$1048576,"&gt;=2022/3/1")</f>
        <v>0</v>
      </c>
      <c r="D55" s="2">
        <f>COUNTIFS(顧客データ!$F$4:$F$1048576,"&gt;=2022/3/1",顧客データ!$F$4:$F$1048576,"&lt;=2022/3/31",顧客データ!$R$4:$R$1048576,"=~400万円",顧客データ!$D$4:$D$1048576,"=*成約*")</f>
        <v>0</v>
      </c>
      <c r="E55" s="13" t="e">
        <f t="shared" si="53"/>
        <v>#DIV/0!</v>
      </c>
      <c r="F55" s="2">
        <f>COUNTIFS(顧客データ!$F$4:$F$1048576,"&gt;=2022/4/1",顧客データ!$F$4:$F$1048576,"&lt;=2022/4/30",顧客データ!$R$4:$R$1048576,"=~400万円",顧客データ!$J$4:$J$1048576,"&gt;=2022/4/1")</f>
        <v>0</v>
      </c>
      <c r="G55" s="2">
        <f>COUNTIFS(顧客データ!$F$4:$F$1048576,"&gt;=2022/4/1",顧客データ!$F$4:$F$1048576,"&lt;=2022/4/30",顧客データ!$R$4:$R$1048576,"=~400万円",顧客データ!$D$4:$D$1048576,"=*成約*")</f>
        <v>0</v>
      </c>
      <c r="H55" s="13" t="e">
        <f t="shared" si="54"/>
        <v>#DIV/0!</v>
      </c>
      <c r="I55" s="2">
        <f>COUNTIFS(顧客データ!$F$4:$F$1048576,"&gt;=2022/5/1",顧客データ!$F$4:$F$1048576,"&lt;=2022/5/31",顧客データ!$R$4:$R$1048576,"=~400万円",顧客データ!$J$4:$J$1048576,"&gt;=2022/5/1")</f>
        <v>1</v>
      </c>
      <c r="J55" s="2">
        <f>COUNTIFS(顧客データ!$F$4:$F$1048576,"&gt;=2022/5/1",顧客データ!$F$4:$F$1048576,"&lt;=2022/5/31",顧客データ!$R$4:$R$1048576,"=~400万円",顧客データ!$D$4:$D$1048576,"=*成約*")</f>
        <v>1</v>
      </c>
      <c r="K55" s="13">
        <f t="shared" si="55"/>
        <v>1</v>
      </c>
      <c r="L55" s="2">
        <f>COUNTIFS(顧客データ!$F$4:$F$1048576,"&gt;=2022/6/1",顧客データ!$F$4:$F$1048576,"&lt;=2022/6/30",顧客データ!$R$4:$R$1048576,"=~400万円",顧客データ!$J$4:$J$1048576,"&gt;=2022/6/1")</f>
        <v>0</v>
      </c>
      <c r="M55" s="2">
        <f>COUNTIFS(顧客データ!$F$4:$F$1048576,"&gt;=2022/6/1",顧客データ!$F$4:$F$1048576,"&lt;=2022/6/30",顧客データ!$R$4:$R$1048576,"=~400万円",顧客データ!$D$4:$D$1048576,"=*成約*")</f>
        <v>0</v>
      </c>
      <c r="N55" s="13" t="e">
        <f t="shared" si="56"/>
        <v>#DIV/0!</v>
      </c>
      <c r="O55" s="2">
        <f>COUNTIFS(顧客データ!$F$4:$F$1048576,"&gt;=2022/7/1",顧客データ!$F$4:$F$1048576,"&lt;=2022/7/31",顧客データ!$R$4:$R$1048576,"=~400万円",顧客データ!$J$4:$J$1048576,"&gt;=2022/7/1")</f>
        <v>0</v>
      </c>
      <c r="P55" s="2">
        <f>COUNTIFS(顧客データ!$F$4:$F$1048576,"&gt;=2022/7/1",顧客データ!$F$4:$F$1048576,"&lt;=2022/7/31",顧客データ!$R$4:$R$1048576,"=~400万円",顧客データ!$D$4:$D$1048576,"=*成約*")</f>
        <v>0</v>
      </c>
      <c r="Q55" s="13" t="e">
        <f t="shared" si="57"/>
        <v>#DIV/0!</v>
      </c>
      <c r="R55" s="2">
        <f>COUNTIFS(顧客データ!$F$4:$F$1048576,"&gt;=2022/8/1",顧客データ!$F$4:$F$1048576,"&lt;=2022/8/31",顧客データ!$R$4:$R$1048576,"=~400万円",顧客データ!$J$4:$J$1048576,"&gt;=2022/8/1")</f>
        <v>0</v>
      </c>
      <c r="S55" s="2">
        <f>COUNTIFS(顧客データ!$F$4:$F$1048576,"&gt;=2022/8/1",顧客データ!$F$4:$F$1048576,"&lt;=2022/8/31",顧客データ!$R$4:$R$1048576,"=~400万円",顧客データ!$D$4:$D$1048576,"=*成約*")</f>
        <v>0</v>
      </c>
      <c r="T55" s="13" t="e">
        <f t="shared" si="58"/>
        <v>#DIV/0!</v>
      </c>
      <c r="U55" s="2">
        <f>COUNTIFS(顧客データ!$F$4:$F$1048576,"&gt;=2022/9/1",顧客データ!$F$4:$F$1048576,"&lt;=2022/9/30",顧客データ!$R$4:$R$1048576,"=~400万円",顧客データ!$J$4:$J$1048576,"&gt;=2022/9/1")</f>
        <v>0</v>
      </c>
      <c r="V55" s="2">
        <f>COUNTIFS(顧客データ!$F$4:$F$1048576,"&gt;=2022/9/1",顧客データ!$F$4:$F$1048576,"&lt;=2022/9/30",顧客データ!$R$4:$R$1048576,"=~400万円",顧客データ!$D$4:$D$1048576,"=*成約*")</f>
        <v>0</v>
      </c>
      <c r="W55" s="13" t="e">
        <f t="shared" si="59"/>
        <v>#DIV/0!</v>
      </c>
      <c r="X55" s="2">
        <f>COUNTIFS(顧客データ!$F$4:$F$1048576,"&gt;=2022/10/1",顧客データ!$F$4:$F$1048576,"&lt;=2022/10/31",顧客データ!$R$4:$R$1048576,"=~400万円",顧客データ!$J$4:$J$1048576,"&gt;=2022/10/1")</f>
        <v>0</v>
      </c>
      <c r="Y55" s="2">
        <f>COUNTIFS(顧客データ!$F$4:$F$1048576,"&gt;=2022/10/1",顧客データ!$F$4:$F$1048576,"&lt;=2022/10/31",顧客データ!$R$4:$R$1048576,"=~400万円",顧客データ!$D$4:$D$1048576,"=*成約*")</f>
        <v>0</v>
      </c>
      <c r="Z55" s="13" t="e">
        <f t="shared" si="60"/>
        <v>#DIV/0!</v>
      </c>
      <c r="AA55" s="2">
        <f>COUNTIFS(顧客データ!$F$4:$F$1048576,"&gt;=2022/11/1",顧客データ!$F$4:$F$1048576,"&lt;=2022/11/30",顧客データ!$R$4:$R$1048576,"=~400万円",顧客データ!$J$4:$J$1048576,"&gt;=2022/11/1")</f>
        <v>0</v>
      </c>
      <c r="AB55" s="2">
        <f>COUNTIFS(顧客データ!$F$4:$F$1048576,"&gt;=2022/11/1",顧客データ!$F$4:$F$1048576,"&lt;=2022/11/30",顧客データ!$R$4:$R$1048576,"=~400万円",顧客データ!$D$4:$D$1048576,"=*成約*")</f>
        <v>0</v>
      </c>
      <c r="AC55" s="33" t="e">
        <f t="shared" si="61"/>
        <v>#DIV/0!</v>
      </c>
      <c r="AD55" s="2">
        <f>COUNTIFS(顧客データ!$F$4:$F$1048576,"&gt;=2022/12/1",顧客データ!$F$4:$F$1048576,"&lt;=2022/12/31",顧客データ!$R$4:$R$1048576,"=~400万円",顧客データ!$J$4:$J$1048576,"&gt;=2022/12/1")</f>
        <v>0</v>
      </c>
      <c r="AE55" s="2">
        <f>COUNTIFS(顧客データ!$F$4:$F$1048576,"&gt;=2022/12/1",顧客データ!$F$4:$F$1048576,"&lt;=2022/12/31",顧客データ!$R$4:$R$1048576,"=~400万円",顧客データ!$D$4:$D$1048576,"=*成約*")</f>
        <v>0</v>
      </c>
      <c r="AF55" s="34" t="e">
        <f t="shared" si="62"/>
        <v>#DIV/0!</v>
      </c>
      <c r="AG55" s="2">
        <f>COUNTIFS(顧客データ!$F$4:$F$1048576,"&gt;=2023/1/1",顧客データ!$F$4:$F$1048576,"&lt;=2023/1/31",顧客データ!$R$4:$R$1048576,"=~400万円",顧客データ!$J$4:$J$1048576,"&gt;=2023/1/1")</f>
        <v>0</v>
      </c>
      <c r="AH55" s="2">
        <f>COUNTIFS(顧客データ!$F$4:$F$1048576,"&gt;=2023/1/1",顧客データ!$F$4:$F$1048576,"&lt;=2023/1/31",顧客データ!$R$4:$R$1048576,"=~400万円",顧客データ!$D$4:$D$1048576,"=*成約*")</f>
        <v>0</v>
      </c>
      <c r="AI55" s="34" t="e">
        <f t="shared" si="67"/>
        <v>#DIV/0!</v>
      </c>
      <c r="AJ55" s="2">
        <f>COUNTIFS(顧客データ!$F$4:$F$1048576,"&gt;=2023/2/1",顧客データ!$F$4:$F$1048576,"&lt;=2023/2/28",顧客データ!$R$4:$R$1048576,"=~400万円",顧客データ!$J$4:$J$1048576,"&gt;=2023/2/1")</f>
        <v>0</v>
      </c>
      <c r="AK55" s="2">
        <f>COUNTIFS(顧客データ!$F$4:$F$1048576,"&gt;=2023/2/1",顧客データ!$F$4:$F$1048576,"&lt;=2023/2/28",顧客データ!$R$4:$R$1048576,"=~400万円",顧客データ!$D$4:$D$1048576,"=*成約*")</f>
        <v>0</v>
      </c>
      <c r="AL55" s="34" t="e">
        <f t="shared" si="63"/>
        <v>#DIV/0!</v>
      </c>
      <c r="AM55" s="6">
        <f t="shared" si="64"/>
        <v>1</v>
      </c>
      <c r="AN55" s="6">
        <f t="shared" si="65"/>
        <v>1</v>
      </c>
      <c r="AO55" s="34">
        <f t="shared" si="66"/>
        <v>1</v>
      </c>
    </row>
    <row r="56" spans="2:41" x14ac:dyDescent="0.5">
      <c r="B56" t="s">
        <v>113</v>
      </c>
      <c r="C56" s="2">
        <f>COUNTIFS(顧客データ!$F$4:$F$1048576,"&gt;=2022/3/1",顧客データ!$F$4:$F$1048576,"&lt;=2022/3/31",顧客データ!$R$4:$R$1048576,"=400万円~",顧客データ!$J$4:$J$1048576,"&gt;=2022/3/1")</f>
        <v>0</v>
      </c>
      <c r="D56" s="2">
        <f>COUNTIFS(顧客データ!$F$4:$F$1048576,"&gt;=2022/3/1",顧客データ!$F$4:$F$1048576,"&lt;=2022/3/31",顧客データ!$R$4:$R$1048576,"=400万円~",顧客データ!$D$4:$D$1048576,"=*成約*")</f>
        <v>0</v>
      </c>
      <c r="E56" s="13" t="e">
        <f t="shared" si="53"/>
        <v>#DIV/0!</v>
      </c>
      <c r="F56" s="2">
        <f>COUNTIFS(顧客データ!$F$4:$F$1048576,"&gt;=2022/4/1",顧客データ!$F$4:$F$1048576,"&lt;=2022/4/30",顧客データ!$R$4:$R$1048576,"=400万円~",顧客データ!$J$4:$J$1048576,"&gt;=2022/4/1")</f>
        <v>0</v>
      </c>
      <c r="G56" s="2">
        <f>COUNTIFS(顧客データ!$F$4:$F$1048576,"&gt;=2022/4/1",顧客データ!$F$4:$F$1048576,"&lt;=2022/4/30",顧客データ!$R$4:$R$1048576,"=400万円~",顧客データ!$D$4:$D$1048576,"=*成約*")</f>
        <v>0</v>
      </c>
      <c r="H56" s="13" t="e">
        <f t="shared" si="54"/>
        <v>#DIV/0!</v>
      </c>
      <c r="I56" s="2">
        <f>COUNTIFS(顧客データ!$F$4:$F$1048576,"&gt;=2022/5/1",顧客データ!$F$4:$F$1048576,"&lt;=2022/5/31",顧客データ!$R$4:$R$1048576,"=400万円~",顧客データ!$J$4:$J$1048576,"&gt;=2022/5/1")</f>
        <v>0</v>
      </c>
      <c r="J56" s="2">
        <f>COUNTIFS(顧客データ!$F$4:$F$1048576,"&gt;=2022/5/1",顧客データ!$F$4:$F$1048576,"&lt;=2022/5/31",顧客データ!$R$4:$R$1048576,"=400万円~",顧客データ!$D$4:$D$1048576,"=*成約*")</f>
        <v>0</v>
      </c>
      <c r="K56" s="13" t="e">
        <f t="shared" si="55"/>
        <v>#DIV/0!</v>
      </c>
      <c r="L56" s="2">
        <f>COUNTIFS(顧客データ!$F$4:$F$1048576,"&gt;=2022/6/1",顧客データ!$F$4:$F$1048576,"&lt;=2022/6/30",顧客データ!$R$4:$R$1048576,"=400万円~",顧客データ!$J$4:$J$1048576,"&gt;=2022/6/1")</f>
        <v>0</v>
      </c>
      <c r="M56" s="2">
        <f>COUNTIFS(顧客データ!$F$4:$F$1048576,"&gt;=2022/6/1",顧客データ!$F$4:$F$1048576,"&lt;=2022/6/30",顧客データ!$R$4:$R$1048576,"=400万円~",顧客データ!$D$4:$D$1048576,"=*成約*")</f>
        <v>0</v>
      </c>
      <c r="N56" s="13" t="e">
        <f t="shared" si="56"/>
        <v>#DIV/0!</v>
      </c>
      <c r="O56" s="2">
        <f>COUNTIFS(顧客データ!$F$4:$F$1048576,"&gt;=2022/7/1",顧客データ!$F$4:$F$1048576,"&lt;=2022/7/31",顧客データ!$R$4:$R$1048576,"=400万円~",顧客データ!$J$4:$J$1048576,"&gt;=2022/7/1")</f>
        <v>0</v>
      </c>
      <c r="P56" s="2">
        <f>COUNTIFS(顧客データ!$F$4:$F$1048576,"&gt;=2022/7/1",顧客データ!$F$4:$F$1048576,"&lt;=2022/7/31",顧客データ!$R$4:$R$1048576,"=400万円~",顧客データ!$D$4:$D$1048576,"=*成約*")</f>
        <v>0</v>
      </c>
      <c r="Q56" s="13" t="e">
        <f t="shared" si="57"/>
        <v>#DIV/0!</v>
      </c>
      <c r="R56" s="2">
        <f>COUNTIFS(顧客データ!$F$4:$F$1048576,"&gt;=2022/8/1",顧客データ!$F$4:$F$1048576,"&lt;=2022/8/31",顧客データ!$R$4:$R$1048576,"=400万円~",顧客データ!$J$4:$J$1048576,"&gt;=2022/8/1")</f>
        <v>0</v>
      </c>
      <c r="S56" s="2">
        <f>COUNTIFS(顧客データ!$F$4:$F$1048576,"&gt;=2022/8/1",顧客データ!$F$4:$F$1048576,"&lt;=2022/8/31",顧客データ!$R$4:$R$1048576,"=400万円~",顧客データ!$D$4:$D$1048576,"=*成約*")</f>
        <v>0</v>
      </c>
      <c r="T56" s="13" t="e">
        <f t="shared" si="58"/>
        <v>#DIV/0!</v>
      </c>
      <c r="U56" s="2">
        <f>COUNTIFS(顧客データ!$F$4:$F$1048576,"&gt;=2022/9/1",顧客データ!$F$4:$F$1048576,"&lt;=2022/9/30",顧客データ!$R$4:$R$1048576,"=400万円~",顧客データ!$J$4:$J$1048576,"&gt;=2022/9/1")</f>
        <v>0</v>
      </c>
      <c r="V56" s="2">
        <f>COUNTIFS(顧客データ!$F$4:$F$1048576,"&gt;=2022/9/1",顧客データ!$F$4:$F$1048576,"&lt;=2022/9/30",顧客データ!$R$4:$R$1048576,"=400万円~",顧客データ!$D$4:$D$1048576,"=*成約*")</f>
        <v>0</v>
      </c>
      <c r="W56" s="13" t="e">
        <f t="shared" si="59"/>
        <v>#DIV/0!</v>
      </c>
      <c r="X56" s="2">
        <f>COUNTIFS(顧客データ!$F$4:$F$1048576,"&gt;=2022/10/1",顧客データ!$F$4:$F$1048576,"&lt;=2022/10/31",顧客データ!$R$4:$R$1048576,"=400万円~",顧客データ!$J$4:$J$1048576,"&gt;=2022/10/1")</f>
        <v>0</v>
      </c>
      <c r="Y56" s="2">
        <f>COUNTIFS(顧客データ!$F$4:$F$1048576,"&gt;=2022/10/1",顧客データ!$F$4:$F$1048576,"&lt;=2022/10/31",顧客データ!$R$4:$R$1048576,"=400万円~",顧客データ!$D$4:$D$1048576,"=*成約*")</f>
        <v>0</v>
      </c>
      <c r="Z56" s="13" t="e">
        <f t="shared" si="60"/>
        <v>#DIV/0!</v>
      </c>
      <c r="AA56" s="2">
        <f>COUNTIFS(顧客データ!$F$4:$F$1048576,"&gt;=2022/11/1",顧客データ!$F$4:$F$1048576,"&lt;=2022/11/30",顧客データ!$R$4:$R$1048576,"=400万円~",顧客データ!$J$4:$J$1048576,"&gt;=2022/11/1")</f>
        <v>0</v>
      </c>
      <c r="AB56" s="2">
        <f>COUNTIFS(顧客データ!$F$4:$F$1048576,"&gt;=2022/11/1",顧客データ!$F$4:$F$1048576,"&lt;=2022/11/30",顧客データ!$R$4:$R$1048576,"=400万円~",顧客データ!$D$4:$D$1048576,"=*成約*")</f>
        <v>0</v>
      </c>
      <c r="AC56" s="33" t="e">
        <f t="shared" si="61"/>
        <v>#DIV/0!</v>
      </c>
      <c r="AD56" s="2">
        <f>COUNTIFS(顧客データ!$F$4:$F$1048576,"&gt;=2022/12/1",顧客データ!$F$4:$F$1048576,"&lt;=2022/12/31",顧客データ!$R$4:$R$1048576,"=400万円~",顧客データ!$J$4:$J$1048576,"&gt;=2022/12/1")</f>
        <v>0</v>
      </c>
      <c r="AE56" s="2">
        <f>COUNTIFS(顧客データ!$F$4:$F$1048576,"&gt;=2022/12/1",顧客データ!$F$4:$F$1048576,"&lt;=2022/12/31",顧客データ!$R$4:$R$1048576,"=400万円~",顧客データ!$D$4:$D$1048576,"=*成約*")</f>
        <v>0</v>
      </c>
      <c r="AF56" s="34" t="e">
        <f t="shared" si="62"/>
        <v>#DIV/0!</v>
      </c>
      <c r="AG56" s="2">
        <f>COUNTIFS(顧客データ!$F$4:$F$1048576,"&gt;=2023/1/1",顧客データ!$F$4:$F$1048576,"&lt;=2023/1/31",顧客データ!$R$4:$R$1048576,"=400万円~",顧客データ!$J$4:$J$1048576,"&gt;=2023/1/1")</f>
        <v>0</v>
      </c>
      <c r="AH56" s="2">
        <f>COUNTIFS(顧客データ!$F$4:$F$1048576,"&gt;=2023/1/1",顧客データ!$F$4:$F$1048576,"&lt;=2023/1/31",顧客データ!$R$4:$R$1048576,"=400万円~",顧客データ!$D$4:$D$1048576,"=*成約*")</f>
        <v>0</v>
      </c>
      <c r="AI56" s="34" t="e">
        <f t="shared" si="67"/>
        <v>#DIV/0!</v>
      </c>
      <c r="AJ56" s="2">
        <f>COUNTIFS(顧客データ!$F$4:$F$1048576,"&gt;=2023/2/1",顧客データ!$F$4:$F$1048576,"&lt;=2023/2/28",顧客データ!$R$4:$R$1048576,"=400万円~",顧客データ!$J$4:$J$1048576,"&gt;=2023/2/1")</f>
        <v>0</v>
      </c>
      <c r="AK56" s="2">
        <f>COUNTIFS(顧客データ!$F$4:$F$1048576,"&gt;=2023/2/1",顧客データ!$F$4:$F$1048576,"&lt;=2023/2/28",顧客データ!$R$4:$R$1048576,"=400万円~",顧客データ!$D$4:$D$1048576,"=*成約*")</f>
        <v>0</v>
      </c>
      <c r="AL56" s="34" t="e">
        <f t="shared" si="63"/>
        <v>#DIV/0!</v>
      </c>
      <c r="AM56" s="6">
        <f t="shared" si="64"/>
        <v>0</v>
      </c>
      <c r="AN56" s="6">
        <f t="shared" si="65"/>
        <v>0</v>
      </c>
      <c r="AO56" s="34" t="e">
        <f t="shared" si="66"/>
        <v>#DIV/0!</v>
      </c>
    </row>
    <row r="57" spans="2:41" x14ac:dyDescent="0.5">
      <c r="B57" t="s">
        <v>114</v>
      </c>
      <c r="C57" s="2">
        <f>COUNTIFS(顧客データ!$F$4:$F$1048576,"&gt;=2022/3/1",顧客データ!$F$4:$F$1048576,"&lt;=2022/3/31",顧客データ!$R$4:$R$1048576,"=未定",顧客データ!$J$4:$J$1048576,"&gt;=2022/3/1")</f>
        <v>0</v>
      </c>
      <c r="D57" s="2">
        <f>COUNTIFS(顧客データ!$F$4:$F$1048576,"&gt;=2022/3/1",顧客データ!$F$4:$F$1048576,"&lt;=2022/3/31",顧客データ!$R$4:$R$1048576,"=未定",顧客データ!$D$4:$D$1048576,"=*成約*")</f>
        <v>0</v>
      </c>
      <c r="E57" s="13" t="e">
        <f t="shared" si="53"/>
        <v>#DIV/0!</v>
      </c>
      <c r="F57" s="2">
        <f>COUNTIFS(顧客データ!$F$4:$F$1048576,"&gt;=2022/4/1",顧客データ!$F$4:$F$1048576,"&lt;=2022/4/30",顧客データ!$R$4:$R$1048576,"=未定",顧客データ!$J$4:$J$1048576,"&gt;=2022/4/1")</f>
        <v>0</v>
      </c>
      <c r="G57" s="2">
        <f>COUNTIFS(顧客データ!$F$4:$F$1048576,"&gt;=2022/4/1",顧客データ!$F$4:$F$1048576,"&lt;=2022/4/30",顧客データ!$R$4:$R$1048576,"=未定",顧客データ!$D$4:$D$1048576,"=*成約*")</f>
        <v>0</v>
      </c>
      <c r="H57" s="13" t="e">
        <f t="shared" si="54"/>
        <v>#DIV/0!</v>
      </c>
      <c r="I57" s="2">
        <f>COUNTIFS(顧客データ!$F$4:$F$1048576,"&gt;=2022/5/1",顧客データ!$F$4:$F$1048576,"&lt;=2022/5/31",顧客データ!$R$4:$R$1048576,"=未定",顧客データ!$J$4:$J$1048576,"&gt;=2022/5/1")</f>
        <v>0</v>
      </c>
      <c r="J57" s="2">
        <f>COUNTIFS(顧客データ!$F$4:$F$1048576,"&gt;=2022/5/1",顧客データ!$F$4:$F$1048576,"&lt;=2022/5/31",顧客データ!$R$4:$R$1048576,"=未定",顧客データ!$D$4:$D$1048576,"=*成約*")</f>
        <v>0</v>
      </c>
      <c r="K57" s="13" t="e">
        <f t="shared" si="55"/>
        <v>#DIV/0!</v>
      </c>
      <c r="L57" s="2">
        <f>COUNTIFS(顧客データ!$F$4:$F$1048576,"&gt;=2022/6/1",顧客データ!$F$4:$F$1048576,"&lt;=2022/6/30",顧客データ!$R$4:$R$1048576,"=未定",顧客データ!$J$4:$J$1048576,"&gt;=2022/6/1")</f>
        <v>0</v>
      </c>
      <c r="M57" s="2">
        <f>COUNTIFS(顧客データ!$F$4:$F$1048576,"&gt;=2022/6/1",顧客データ!$F$4:$F$1048576,"&lt;=2022/6/30",顧客データ!$R$4:$R$1048576,"=未定",顧客データ!$D$4:$D$1048576,"=*成約*")</f>
        <v>0</v>
      </c>
      <c r="N57" s="13" t="e">
        <f t="shared" si="56"/>
        <v>#DIV/0!</v>
      </c>
      <c r="O57" s="2">
        <f>COUNTIFS(顧客データ!$F$4:$F$1048576,"&gt;=2022/7/1",顧客データ!$F$4:$F$1048576,"&lt;=2022/7/31",顧客データ!$R$4:$R$1048576,"=未定",顧客データ!$J$4:$J$1048576,"&gt;=2022/7/1")</f>
        <v>0</v>
      </c>
      <c r="P57" s="2">
        <f>COUNTIFS(顧客データ!$F$4:$F$1048576,"&gt;=2022/7/1",顧客データ!$F$4:$F$1048576,"&lt;=2022/7/31",顧客データ!$R$4:$R$1048576,"=未定",顧客データ!$D$4:$D$1048576,"=*成約*")</f>
        <v>0</v>
      </c>
      <c r="Q57" s="13" t="e">
        <f t="shared" si="57"/>
        <v>#DIV/0!</v>
      </c>
      <c r="R57" s="2">
        <f>COUNTIFS(顧客データ!$F$4:$F$1048576,"&gt;=2022/8/1",顧客データ!$F$4:$F$1048576,"&lt;=2022/8/31",顧客データ!$R$4:$R$1048576,"=未定",顧客データ!$J$4:$J$1048576,"&gt;=2022/8/1")</f>
        <v>0</v>
      </c>
      <c r="S57" s="2">
        <f>COUNTIFS(顧客データ!$F$4:$F$1048576,"&gt;=2022/8/1",顧客データ!$F$4:$F$1048576,"&lt;=2022/8/31",顧客データ!$R$4:$R$1048576,"=未定",顧客データ!$D$4:$D$1048576,"=*成約*")</f>
        <v>0</v>
      </c>
      <c r="T57" s="13" t="e">
        <f t="shared" si="58"/>
        <v>#DIV/0!</v>
      </c>
      <c r="U57" s="2">
        <f>COUNTIFS(顧客データ!$F$4:$F$1048576,"&gt;=2022/9/1",顧客データ!$F$4:$F$1048576,"&lt;=2022/9/30",顧客データ!$R$4:$R$1048576,"=未定",顧客データ!$J$4:$J$1048576,"&gt;=2022/9/1")</f>
        <v>0</v>
      </c>
      <c r="V57" s="2">
        <f>COUNTIFS(顧客データ!$F$4:$F$1048576,"&gt;=2022/9/1",顧客データ!$F$4:$F$1048576,"&lt;=2022/9/30",顧客データ!$R$4:$R$1048576,"=未定",顧客データ!$D$4:$D$1048576,"=*成約*")</f>
        <v>0</v>
      </c>
      <c r="W57" s="13" t="e">
        <f t="shared" si="59"/>
        <v>#DIV/0!</v>
      </c>
      <c r="X57" s="2">
        <f>COUNTIFS(顧客データ!$F$4:$F$1048576,"&gt;=2022/10/1",顧客データ!$F$4:$F$1048576,"&lt;=2022/10/31",顧客データ!$R$4:$R$1048576,"=未定",顧客データ!$J$4:$J$1048576,"&gt;=2022/10/1")</f>
        <v>0</v>
      </c>
      <c r="Y57" s="2">
        <f>COUNTIFS(顧客データ!$F$4:$F$1048576,"&gt;=2022/10/1",顧客データ!$F$4:$F$1048576,"&lt;=2022/10/31",顧客データ!$R$4:$R$1048576,"=未定",顧客データ!$D$4:$D$1048576,"=*成約*")</f>
        <v>0</v>
      </c>
      <c r="Z57" s="13" t="e">
        <f t="shared" si="60"/>
        <v>#DIV/0!</v>
      </c>
      <c r="AA57" s="2">
        <f>COUNTIFS(顧客データ!$F$4:$F$1048576,"&gt;=2022/11/1",顧客データ!$F$4:$F$1048576,"&lt;=2022/11/30",顧客データ!$R$4:$R$1048576,"=未定",顧客データ!$J$4:$J$1048576,"&gt;=2022/11/1")</f>
        <v>0</v>
      </c>
      <c r="AB57" s="2">
        <f>COUNTIFS(顧客データ!$F$4:$F$1048576,"&gt;=2022/11/1",顧客データ!$F$4:$F$1048576,"&lt;=2022/11/30",顧客データ!$R$4:$R$1048576,"=未定",顧客データ!$D$4:$D$1048576,"=*成約*")</f>
        <v>0</v>
      </c>
      <c r="AC57" s="33" t="e">
        <f t="shared" si="61"/>
        <v>#DIV/0!</v>
      </c>
      <c r="AD57" s="2">
        <f>COUNTIFS(顧客データ!$F$4:$F$1048576,"&gt;=2022/12/1",顧客データ!$F$4:$F$1048576,"&lt;=2022/12/31",顧客データ!$R$4:$R$1048576,"=未定",顧客データ!$J$4:$J$1048576,"&gt;=2022/12/1")</f>
        <v>0</v>
      </c>
      <c r="AE57" s="2">
        <f>COUNTIFS(顧客データ!$F$4:$F$1048576,"&gt;=2022/12/1",顧客データ!$F$4:$F$1048576,"&lt;=2022/12/31",顧客データ!$R$4:$R$1048576,"=未定",顧客データ!$D$4:$D$1048576,"=*成約*")</f>
        <v>0</v>
      </c>
      <c r="AF57" s="34" t="e">
        <f t="shared" si="62"/>
        <v>#DIV/0!</v>
      </c>
      <c r="AG57" s="2">
        <f>COUNTIFS(顧客データ!$F$4:$F$1048576,"&gt;=2023/1/1",顧客データ!$F$4:$F$1048576,"&lt;=2023/1/31",顧客データ!$R$4:$R$1048576,"=未定",顧客データ!$J$4:$J$1048576,"&gt;=2023/1/1")</f>
        <v>0</v>
      </c>
      <c r="AH57" s="2">
        <f>COUNTIFS(顧客データ!$F$4:$F$1048576,"&gt;=2023/1/1",顧客データ!$F$4:$F$1048576,"&lt;=2023/1/31",顧客データ!$R$4:$R$1048576,"=未定",顧客データ!$D$4:$D$1048576,"=*成約*")</f>
        <v>0</v>
      </c>
      <c r="AI57" s="34" t="e">
        <f t="shared" si="67"/>
        <v>#DIV/0!</v>
      </c>
      <c r="AJ57" s="2">
        <f>COUNTIFS(顧客データ!$F$4:$F$1048576,"&gt;=2023/2/1",顧客データ!$F$4:$F$1048576,"&lt;=2023/2/28",顧客データ!$R$4:$R$1048576,"=未定",顧客データ!$J$4:$J$1048576,"&gt;=2023/2/1")</f>
        <v>0</v>
      </c>
      <c r="AK57" s="2">
        <f>COUNTIFS(顧客データ!$F$4:$F$1048576,"&gt;=2023/2/1",顧客データ!$F$4:$F$1048576,"&lt;=2023/2/28",顧客データ!$R$4:$R$1048576,"=未定",顧客データ!$D$4:$D$1048576,"=*成約*")</f>
        <v>0</v>
      </c>
      <c r="AL57" s="34" t="e">
        <f t="shared" si="63"/>
        <v>#DIV/0!</v>
      </c>
      <c r="AM57" s="6">
        <f t="shared" si="64"/>
        <v>0</v>
      </c>
      <c r="AN57" s="6">
        <f t="shared" si="65"/>
        <v>0</v>
      </c>
      <c r="AO57" s="34" t="e">
        <f t="shared" si="66"/>
        <v>#DIV/0!</v>
      </c>
    </row>
    <row r="60" spans="2:41" x14ac:dyDescent="0.5">
      <c r="B60" s="4" t="s">
        <v>117</v>
      </c>
    </row>
    <row r="61" spans="2:41" x14ac:dyDescent="0.5">
      <c r="B61" s="4"/>
      <c r="C61" s="77" t="s">
        <v>9</v>
      </c>
      <c r="D61" s="77"/>
      <c r="E61" s="77"/>
      <c r="F61" s="77" t="s">
        <v>10</v>
      </c>
      <c r="G61" s="77"/>
      <c r="H61" s="77"/>
      <c r="I61" s="77" t="s">
        <v>11</v>
      </c>
      <c r="J61" s="77"/>
      <c r="K61" s="77"/>
      <c r="L61" s="77" t="s">
        <v>13</v>
      </c>
      <c r="M61" s="77"/>
      <c r="N61" s="77"/>
      <c r="O61" s="77" t="s">
        <v>14</v>
      </c>
      <c r="P61" s="77"/>
      <c r="Q61" s="77"/>
      <c r="R61" s="77" t="s">
        <v>15</v>
      </c>
      <c r="S61" s="77"/>
      <c r="T61" s="77"/>
      <c r="U61" s="77" t="s">
        <v>16</v>
      </c>
      <c r="V61" s="77"/>
      <c r="W61" s="77"/>
      <c r="X61" s="77" t="s">
        <v>17</v>
      </c>
      <c r="Y61" s="77"/>
      <c r="Z61" s="77"/>
      <c r="AA61" s="77" t="s">
        <v>18</v>
      </c>
      <c r="AB61" s="77"/>
      <c r="AC61" s="77"/>
      <c r="AD61" s="77" t="s">
        <v>19</v>
      </c>
      <c r="AE61" s="77"/>
      <c r="AF61" s="77"/>
      <c r="AG61" s="77" t="s">
        <v>20</v>
      </c>
      <c r="AH61" s="77"/>
      <c r="AI61" s="77"/>
      <c r="AJ61" s="77" t="s">
        <v>21</v>
      </c>
      <c r="AK61" s="77"/>
      <c r="AL61" s="77"/>
      <c r="AM61" s="77" t="s">
        <v>22</v>
      </c>
      <c r="AN61" s="77"/>
      <c r="AO61" s="77"/>
    </row>
    <row r="62" spans="2:41" x14ac:dyDescent="0.5">
      <c r="C62" s="1" t="s">
        <v>7</v>
      </c>
      <c r="D62" s="1" t="s">
        <v>8</v>
      </c>
      <c r="E62" s="1" t="s">
        <v>23</v>
      </c>
      <c r="F62" s="1" t="s">
        <v>7</v>
      </c>
      <c r="G62" s="1" t="s">
        <v>8</v>
      </c>
      <c r="H62" s="1" t="s">
        <v>23</v>
      </c>
      <c r="I62" s="1" t="s">
        <v>7</v>
      </c>
      <c r="J62" s="1" t="s">
        <v>8</v>
      </c>
      <c r="K62" s="1" t="s">
        <v>23</v>
      </c>
      <c r="L62" s="1" t="s">
        <v>7</v>
      </c>
      <c r="M62" s="1" t="s">
        <v>8</v>
      </c>
      <c r="N62" s="1" t="s">
        <v>23</v>
      </c>
      <c r="O62" s="1" t="s">
        <v>7</v>
      </c>
      <c r="P62" s="1" t="s">
        <v>8</v>
      </c>
      <c r="Q62" s="1" t="s">
        <v>23</v>
      </c>
      <c r="R62" s="1" t="s">
        <v>7</v>
      </c>
      <c r="S62" s="1" t="s">
        <v>8</v>
      </c>
      <c r="T62" s="1" t="s">
        <v>23</v>
      </c>
      <c r="U62" s="1" t="s">
        <v>7</v>
      </c>
      <c r="V62" s="1" t="s">
        <v>8</v>
      </c>
      <c r="W62" s="1" t="s">
        <v>23</v>
      </c>
      <c r="X62" s="1" t="s">
        <v>7</v>
      </c>
      <c r="Y62" s="1" t="s">
        <v>8</v>
      </c>
      <c r="Z62" s="1" t="s">
        <v>23</v>
      </c>
      <c r="AA62" s="1" t="s">
        <v>7</v>
      </c>
      <c r="AB62" s="1" t="s">
        <v>8</v>
      </c>
      <c r="AC62" s="1" t="s">
        <v>23</v>
      </c>
      <c r="AD62" s="1" t="s">
        <v>7</v>
      </c>
      <c r="AE62" s="1" t="s">
        <v>8</v>
      </c>
      <c r="AF62" s="1" t="s">
        <v>23</v>
      </c>
      <c r="AG62" s="1" t="s">
        <v>7</v>
      </c>
      <c r="AH62" s="1" t="s">
        <v>8</v>
      </c>
      <c r="AI62" s="1" t="s">
        <v>23</v>
      </c>
      <c r="AJ62" s="1" t="s">
        <v>7</v>
      </c>
      <c r="AK62" s="1" t="s">
        <v>8</v>
      </c>
      <c r="AL62" s="1" t="s">
        <v>23</v>
      </c>
      <c r="AM62" s="1" t="s">
        <v>7</v>
      </c>
      <c r="AN62" s="1" t="s">
        <v>8</v>
      </c>
      <c r="AO62" s="1" t="s">
        <v>23</v>
      </c>
    </row>
    <row r="63" spans="2:41" x14ac:dyDescent="0.5">
      <c r="B63" t="s">
        <v>96</v>
      </c>
      <c r="C63" s="2">
        <f>COUNTIFS(顧客データ!$F$4:$F$1048576,"&gt;=2022/3/1",顧客データ!$F$4:$F$1048576,"&lt;=2022/3/31",顧客データ!$P$4:$P$1048576,"=~20",顧客データ!$J$4:$J$1048576,"&gt;=2022/3/1")</f>
        <v>1</v>
      </c>
      <c r="D63" s="2">
        <f>COUNTIFS(顧客データ!$F$4:$F$1048576,"&gt;=2022/3/1",顧客データ!$F$4:$F$1048576,"&lt;=2022/3/31",顧客データ!$P$4:$P$1048576,"=~20",顧客データ!$D$4:$D$1048576,"=*成約*")</f>
        <v>0</v>
      </c>
      <c r="E63" s="13">
        <f>D63/C63</f>
        <v>0</v>
      </c>
      <c r="F63" s="2">
        <f>COUNTIFS(顧客データ!$F$4:$F$1048576,"&gt;=2022/4/1",顧客データ!$F$4:$F$1048576,"&lt;=2022/4/30",顧客データ!$P$4:$P$1048576,"=~20",顧客データ!$J$4:$J$1048576,"&gt;=2022/4/1")</f>
        <v>0</v>
      </c>
      <c r="G63" s="2">
        <f>COUNTIFS(顧客データ!$F$4:$F$1048576,"&gt;=2022/4/1",顧客データ!$F$4:$F$1048576,"&lt;=2022/4/30",顧客データ!$P$4:$P$1048576,"=~20",顧客データ!$D$4:$D$1048576,"=*成約*")</f>
        <v>0</v>
      </c>
      <c r="H63" s="13" t="e">
        <f>G63/F63</f>
        <v>#DIV/0!</v>
      </c>
      <c r="I63" s="2">
        <f>COUNTIFS(顧客データ!$F$4:$F$1048576,"&gt;=2022/5/1",顧客データ!$F$4:$F$1048576,"&lt;=2022/5/31",顧客データ!$P$4:$P$1048576,"=~20",顧客データ!$J$4:$J$1048576,"&gt;=2022/5/1")</f>
        <v>0</v>
      </c>
      <c r="J63" s="2">
        <f>COUNTIFS(顧客データ!$F$4:$F$1048576,"&gt;=2022/5/1",顧客データ!$F$4:$F$1048576,"&lt;=2022/5/31",顧客データ!$P$4:$P$1048576,"=~20",顧客データ!$D$4:$D$1048576,"=*成約*")</f>
        <v>0</v>
      </c>
      <c r="K63" s="13" t="e">
        <f>J63/I63</f>
        <v>#DIV/0!</v>
      </c>
      <c r="L63" s="2">
        <f>COUNTIFS(顧客データ!$F$4:$F$1048576,"&gt;=2022/6/1",顧客データ!$F$4:$F$1048576,"&lt;=2022/6/30",顧客データ!$P$4:$P$1048576,"=~20",顧客データ!$J$4:$J$1048576,"&gt;=2022/6/1")</f>
        <v>0</v>
      </c>
      <c r="M63" s="2">
        <f>COUNTIFS(顧客データ!$F$4:$F$1048576,"&gt;=2022/6/1",顧客データ!$F$4:$F$1048576,"&lt;=2022/6/30",顧客データ!$P$4:$P$1048576,"=~20",顧客データ!$D$4:$D$1048576,"=*成約*")</f>
        <v>0</v>
      </c>
      <c r="N63" s="13" t="e">
        <f>M63/L63</f>
        <v>#DIV/0!</v>
      </c>
      <c r="O63" s="2">
        <f>COUNTIFS(顧客データ!$F$4:$F$1048576,"&gt;=2022/7/1",顧客データ!$F$4:$F$1048576,"&lt;=2022/7/31",顧客データ!$P$4:$P$1048576,"=~20",顧客データ!$J$4:$J$1048576,"&gt;=2022/7/1")</f>
        <v>0</v>
      </c>
      <c r="P63" s="2">
        <f>COUNTIFS(顧客データ!$F$4:$F$1048576,"&gt;=2022/7/1",顧客データ!$F$4:$F$1048576,"&lt;=2022/7/31",顧客データ!$P$4:$P$1048576,"=~20",顧客データ!$D$4:$D$1048576,"=*成約*")</f>
        <v>0</v>
      </c>
      <c r="Q63" s="13" t="e">
        <f>P63/O63</f>
        <v>#DIV/0!</v>
      </c>
      <c r="R63" s="2">
        <f>COUNTIFS(顧客データ!$F$4:$F$1048576,"&gt;=2022/8/1",顧客データ!$F$4:$F$1048576,"&lt;=2022/8/31",顧客データ!$P$4:$P$1048576,"=~20",顧客データ!$J$4:$J$1048576,"&gt;=2022/8/1")</f>
        <v>0</v>
      </c>
      <c r="S63" s="2">
        <f>COUNTIFS(顧客データ!$F$4:$F$1048576,"&gt;=2022/8/1",顧客データ!$F$4:$F$1048576,"&lt;=2022/8/31",顧客データ!$P$4:$P$1048576,"=~20",顧客データ!$D$4:$D$1048576,"=*成約*")</f>
        <v>0</v>
      </c>
      <c r="T63" s="13" t="e">
        <f>S63/R63</f>
        <v>#DIV/0!</v>
      </c>
      <c r="U63" s="2">
        <f>COUNTIFS(顧客データ!$F$4:$F$1048576,"&gt;=2022/9/1",顧客データ!$F$4:$F$1048576,"&lt;=2022/9/30",顧客データ!$P$4:$P$1048576,"=~20",顧客データ!$J$4:$J$1048576,"&gt;=2022/9/1")</f>
        <v>0</v>
      </c>
      <c r="V63" s="2">
        <f>COUNTIFS(顧客データ!$F$4:$F$1048576,"&gt;=2022/9/1",顧客データ!$F$4:$F$1048576,"&lt;=2022/9/30",顧客データ!$P$4:$P$1048576,"=~20",顧客データ!$D$4:$D$1048576,"=*成約*")</f>
        <v>0</v>
      </c>
      <c r="W63" s="13" t="e">
        <f>V63/U63</f>
        <v>#DIV/0!</v>
      </c>
      <c r="X63" s="2">
        <f>COUNTIFS(顧客データ!$F$4:$F$1048576,"&gt;=2022/10/1",顧客データ!$F$4:$F$1048576,"&lt;=2022/10/31",顧客データ!$P$4:$P$1048576,"=~20",顧客データ!$J$4:$J$1048576,"&gt;=2022/10/1")</f>
        <v>0</v>
      </c>
      <c r="Y63" s="2">
        <f>COUNTIFS(顧客データ!$F$4:$F$1048576,"&gt;=2022/10/1",顧客データ!$F$4:$F$1048576,"&lt;=2022/10/31",顧客データ!$P$4:$P$1048576,"=~20",顧客データ!$D$4:$D$1048576,"=*成約*")</f>
        <v>0</v>
      </c>
      <c r="Z63" s="13" t="e">
        <f>Y63/X63</f>
        <v>#DIV/0!</v>
      </c>
      <c r="AA63" s="2">
        <f>COUNTIFS(顧客データ!$F$4:$F$1048576,"&gt;=2022/11/1",顧客データ!$F$4:$F$1048576,"&lt;=2022/11/30",顧客データ!$P$4:$P$1048576,"=~20",顧客データ!$J$4:$J$1048576,"&gt;=2022/11/1")</f>
        <v>0</v>
      </c>
      <c r="AB63" s="2">
        <f>COUNTIFS(顧客データ!$F$4:$F$1048576,"&gt;=2022/11/1",顧客データ!$F$4:$F$1048576,"&lt;=2022/11/30",顧客データ!$P$4:$P$1048576,"=~20",顧客データ!$D$4:$D$1048576,"=*成約*")</f>
        <v>0</v>
      </c>
      <c r="AC63" s="33" t="e">
        <f>AB63/AA63</f>
        <v>#DIV/0!</v>
      </c>
      <c r="AD63" s="2">
        <f>COUNTIFS(顧客データ!$F$4:$F$1048576,"&gt;=2022/12/1",顧客データ!$F$4:$F$1048576,"&lt;=2022/12/31",顧客データ!$P$4:$P$1048576,"=~20",顧客データ!$J$4:$J$1048576,"&gt;=2022/12/1")</f>
        <v>0</v>
      </c>
      <c r="AE63" s="2">
        <f>COUNTIFS(顧客データ!$F$4:$F$1048576,"&gt;=2022/12/1",顧客データ!$F$4:$F$1048576,"&lt;=2022/12/31",顧客データ!$P$4:$P$1048576,"=~20",顧客データ!$D$4:$D$1048576,"=*成約*")</f>
        <v>0</v>
      </c>
      <c r="AF63" s="34" t="e">
        <f>AE63/AD63</f>
        <v>#DIV/0!</v>
      </c>
      <c r="AG63" s="2">
        <f>COUNTIFS(顧客データ!$F$4:$F$1048576,"&gt;=2023/1/1",顧客データ!$F$4:$F$1048576,"&lt;=2023/1/31",顧客データ!$P$4:$P$1048576,"=~20",顧客データ!$J$4:$J$1048576,"&gt;=2023/1/1")</f>
        <v>0</v>
      </c>
      <c r="AH63" s="2">
        <f>COUNTIFS(顧客データ!$F$4:$F$1048576,"&gt;=2023/1/1",顧客データ!$F$4:$F$1048576,"&lt;=2023/1/31",顧客データ!$P$4:$P$1048576,"=~20",顧客データ!$D$4:$D$1048576,"=*成約*")</f>
        <v>0</v>
      </c>
      <c r="AI63" s="34" t="e">
        <f>AH63/AG63</f>
        <v>#DIV/0!</v>
      </c>
      <c r="AJ63" s="2">
        <f>COUNTIFS(顧客データ!$F$4:$F$1048576,"&gt;=2023/2/1",顧客データ!$F$4:$F$1048576,"&lt;=2023/2/28",顧客データ!$P$4:$P$1048576,"=~20",顧客データ!$J$4:$J$1048576,"&gt;=2023/2/1")</f>
        <v>0</v>
      </c>
      <c r="AK63" s="2">
        <f>COUNTIFS(顧客データ!$F$4:$F$1048576,"&gt;=2023/2/1",顧客データ!$F$4:$F$1048576,"&lt;=2023/2/28",顧客データ!$P$4:$P$1048576,"=~20",顧客データ!$D$4:$D$1048576,"=*成約*")</f>
        <v>0</v>
      </c>
      <c r="AL63" s="34" t="e">
        <f>AK63/AJ63</f>
        <v>#DIV/0!</v>
      </c>
      <c r="AM63" s="6">
        <f>C63+F63+I63+L63+O63+R63+U63+X63+AA63+AD63+AG63+AJ63</f>
        <v>1</v>
      </c>
      <c r="AN63" s="6">
        <f>D63+G63+J63+M63+P63+S63+V63+Y63+AB63+AE63+AH63+AK63</f>
        <v>0</v>
      </c>
      <c r="AO63" s="34">
        <f>AN63/AM63</f>
        <v>0</v>
      </c>
    </row>
    <row r="64" spans="2:41" x14ac:dyDescent="0.5">
      <c r="B64" t="s">
        <v>97</v>
      </c>
      <c r="C64" s="2">
        <f>COUNTIFS(顧客データ!$F$4:$F$1048576,"&gt;=2022/3/1",顧客データ!$F$4:$F$1048576,"&lt;=2022/3/31",顧客データ!$P$4:$P$1048576,"=21~25",顧客データ!$J$4:$J$1048576,"&gt;=2022/3/1")</f>
        <v>5</v>
      </c>
      <c r="D64" s="2">
        <f>COUNTIFS(顧客データ!$F$4:$F$1048576,"&gt;=2022/3/1",顧客データ!$F$4:$F$1048576,"&lt;=2022/3/31",顧客データ!$P$4:$P$1048576,"=21~25",顧客データ!$D$4:$D$1048576,"=*成約*")</f>
        <v>3</v>
      </c>
      <c r="E64" s="13">
        <f t="shared" ref="E64:E70" si="68">D64/C64</f>
        <v>0.6</v>
      </c>
      <c r="F64" s="2">
        <f>COUNTIFS(顧客データ!$F$4:$F$1048576,"&gt;=2022/4/1",顧客データ!$F$4:$F$1048576,"&lt;=2022/4/30",顧客データ!$P$4:$P$1048576,"=21~25",顧客データ!$J$4:$J$1048576,"&gt;=2022/4/1")</f>
        <v>2</v>
      </c>
      <c r="G64" s="2">
        <f>COUNTIFS(顧客データ!$F$4:$F$1048576,"&gt;=2022/4/1",顧客データ!$F$4:$F$1048576,"&lt;=2022/4/30",顧客データ!$P$4:$P$1048576,"=21~25",顧客データ!$D$4:$D$1048576,"=*成約*")</f>
        <v>1</v>
      </c>
      <c r="H64" s="13">
        <f t="shared" ref="H64:H70" si="69">G64/F64</f>
        <v>0.5</v>
      </c>
      <c r="I64" s="2">
        <f>COUNTIFS(顧客データ!$F$4:$F$1048576,"&gt;=2022/5/1",顧客データ!$F$4:$F$1048576,"&lt;=2022/5/31",顧客データ!$P$4:$P$1048576,"=21~25",顧客データ!$J$4:$J$1048576,"&gt;=2022/5/1")</f>
        <v>1</v>
      </c>
      <c r="J64" s="2">
        <f>COUNTIFS(顧客データ!$F$4:$F$1048576,"&gt;=2022/5/1",顧客データ!$F$4:$F$1048576,"&lt;=2022/5/31",顧客データ!$P$4:$P$1048576,"=21~25",顧客データ!$D$4:$D$1048576,"=*成約*")</f>
        <v>0</v>
      </c>
      <c r="K64" s="13">
        <f t="shared" ref="K64:K70" si="70">J64/I64</f>
        <v>0</v>
      </c>
      <c r="L64" s="2">
        <f>COUNTIFS(顧客データ!$F$4:$F$1048576,"&gt;=2022/6/1",顧客データ!$F$4:$F$1048576,"&lt;=2022/6/30",顧客データ!$P$4:$P$1048576,"=21~25",顧客データ!$J$4:$J$1048576,"&gt;=2022/6/1")</f>
        <v>1</v>
      </c>
      <c r="M64" s="2">
        <f>COUNTIFS(顧客データ!$F$4:$F$1048576,"&gt;=2022/6/1",顧客データ!$F$4:$F$1048576,"&lt;=2022/6/30",顧客データ!$P$4:$P$1048576,"=21~25",顧客データ!$D$4:$D$1048576,"=*成約*")</f>
        <v>1</v>
      </c>
      <c r="N64" s="13">
        <f t="shared" ref="N64:N70" si="71">M64/L64</f>
        <v>1</v>
      </c>
      <c r="O64" s="2">
        <f>COUNTIFS(顧客データ!$F$4:$F$1048576,"&gt;=2022/7/1",顧客データ!$F$4:$F$1048576,"&lt;=2022/7/31",顧客データ!$P$4:$P$1048576,"=21~25",顧客データ!$J$4:$J$1048576,"&gt;=2022/7/1")</f>
        <v>1</v>
      </c>
      <c r="P64" s="2">
        <f>COUNTIFS(顧客データ!$F$4:$F$1048576,"&gt;=2022/7/1",顧客データ!$F$4:$F$1048576,"&lt;=2022/7/31",顧客データ!$P$4:$P$1048576,"=21~25",顧客データ!$D$4:$D$1048576,"=*成約*")</f>
        <v>0</v>
      </c>
      <c r="Q64" s="13">
        <f t="shared" ref="Q64:Q70" si="72">P64/O64</f>
        <v>0</v>
      </c>
      <c r="R64" s="2">
        <f>COUNTIFS(顧客データ!$F$4:$F$1048576,"&gt;=2022/8/1",顧客データ!$F$4:$F$1048576,"&lt;=2022/8/31",顧客データ!$P$4:$P$1048576,"=21~25",顧客データ!$J$4:$J$1048576,"&gt;=2022/8/1")</f>
        <v>1</v>
      </c>
      <c r="S64" s="2">
        <f>COUNTIFS(顧客データ!$F$4:$F$1048576,"&gt;=2022/8/1",顧客データ!$F$4:$F$1048576,"&lt;=2022/8/31",顧客データ!$P$4:$P$1048576,"=21~25",顧客データ!$D$4:$D$1048576,"=*成約*")</f>
        <v>1</v>
      </c>
      <c r="T64" s="13">
        <f t="shared" ref="T64:T70" si="73">S64/R64</f>
        <v>1</v>
      </c>
      <c r="U64" s="2">
        <f>COUNTIFS(顧客データ!$F$4:$F$1048576,"&gt;=2022/9/1",顧客データ!$F$4:$F$1048576,"&lt;=2022/9/30",顧客データ!$P$4:$P$1048576,"=21~25",顧客データ!$J$4:$J$1048576,"&gt;=2022/9/1")</f>
        <v>4</v>
      </c>
      <c r="V64" s="2">
        <f>COUNTIFS(顧客データ!$F$4:$F$1048576,"&gt;=2022/9/1",顧客データ!$F$4:$F$1048576,"&lt;=2022/9/30",顧客データ!$P$4:$P$1048576,"=21~25",顧客データ!$D$4:$D$1048576,"=*成約*")</f>
        <v>1</v>
      </c>
      <c r="W64" s="13">
        <f t="shared" ref="W64:W70" si="74">V64/U64</f>
        <v>0.25</v>
      </c>
      <c r="X64" s="2">
        <f>COUNTIFS(顧客データ!$F$4:$F$1048576,"&gt;=2022/10/1",顧客データ!$F$4:$F$1048576,"&lt;=2022/10/31",顧客データ!$P$4:$P$1048576,"=21~25",顧客データ!$J$4:$J$1048576,"&gt;=2022/10/1")</f>
        <v>3</v>
      </c>
      <c r="Y64" s="2">
        <f>COUNTIFS(顧客データ!$F$4:$F$1048576,"&gt;=2022/10/1",顧客データ!$F$4:$F$1048576,"&lt;=2022/10/31",顧客データ!$P$4:$P$1048576,"=21~25",顧客データ!$D$4:$D$1048576,"=*成約*")</f>
        <v>1</v>
      </c>
      <c r="Z64" s="13">
        <f t="shared" ref="Z64:Z70" si="75">Y64/X64</f>
        <v>0.33333333333333331</v>
      </c>
      <c r="AA64" s="2">
        <f>COUNTIFS(顧客データ!$F$4:$F$1048576,"&gt;=2022/11/1",顧客データ!$F$4:$F$1048576,"&lt;=2022/11/30",顧客データ!$P$4:$P$1048576,"=21~25",顧客データ!$J$4:$J$1048576,"&gt;=2022/11/1")</f>
        <v>1</v>
      </c>
      <c r="AB64" s="2">
        <f>COUNTIFS(顧客データ!$F$4:$F$1048576,"&gt;=2022/11/1",顧客データ!$F$4:$F$1048576,"&lt;=2022/11/30",顧客データ!$P$4:$P$1048576,"=21~25",顧客データ!$D$4:$D$1048576,"=*成約*")</f>
        <v>1</v>
      </c>
      <c r="AC64" s="33">
        <f t="shared" ref="AC64:AC70" si="76">AB64/AA64</f>
        <v>1</v>
      </c>
      <c r="AD64" s="2">
        <f>COUNTIFS(顧客データ!$F$4:$F$1048576,"&gt;=2022/12/1",顧客データ!$F$4:$F$1048576,"&lt;=2022/12/31",顧客データ!$P$4:$P$1048576,"=21~25",顧客データ!$J$4:$J$1048576,"&gt;=2022/12/1")</f>
        <v>0</v>
      </c>
      <c r="AE64" s="2">
        <f>COUNTIFS(顧客データ!$F$4:$F$1048576,"&gt;=2022/12/1",顧客データ!$F$4:$F$1048576,"&lt;=2022/12/31",顧客データ!$P$4:$P$1048576,"=21~25",顧客データ!$D$4:$D$1048576,"=*成約*")</f>
        <v>0</v>
      </c>
      <c r="AF64" s="34" t="e">
        <f t="shared" ref="AF64:AF70" si="77">AE64/AD64</f>
        <v>#DIV/0!</v>
      </c>
      <c r="AG64" s="2">
        <f>COUNTIFS(顧客データ!$F$4:$F$1048576,"&gt;=2023/1/1",顧客データ!$F$4:$F$1048576,"&lt;=2023/1/31",顧客データ!$P$4:$P$1048576,"=21~25",顧客データ!$J$4:$J$1048576,"&gt;=2023/1/1")</f>
        <v>5</v>
      </c>
      <c r="AH64" s="2">
        <f>COUNTIFS(顧客データ!$F$4:$F$1048576,"&gt;=2023/1/1",顧客データ!$F$4:$F$1048576,"&lt;=2023/1/31",顧客データ!$P$4:$P$1048576,"=21~25",顧客データ!$D$4:$D$1048576,"=*成約*")</f>
        <v>1</v>
      </c>
      <c r="AI64" s="34">
        <f t="shared" ref="AI64:AI70" si="78">AH64/AG64</f>
        <v>0.2</v>
      </c>
      <c r="AJ64" s="2">
        <f>COUNTIFS(顧客データ!$F$4:$F$1048576,"&gt;=2023/2/1",顧客データ!$F$4:$F$1048576,"&lt;=2023/2/28",顧客データ!$P$4:$P$1048576,"=21~25",顧客データ!$J$4:$J$1048576,"&gt;=2023/2/1")</f>
        <v>0</v>
      </c>
      <c r="AK64" s="2">
        <f>COUNTIFS(顧客データ!$F$4:$F$1048576,"&gt;=2023/2/1",顧客データ!$F$4:$F$1048576,"&lt;=2023/2/28",顧客データ!$P$4:$P$1048576,"=21~25",顧客データ!$D$4:$D$1048576,"=*成約*")</f>
        <v>0</v>
      </c>
      <c r="AL64" s="34" t="e">
        <f t="shared" ref="AL64:AL70" si="79">AK64/AJ64</f>
        <v>#DIV/0!</v>
      </c>
      <c r="AM64" s="6">
        <f t="shared" ref="AM64:AM70" si="80">C64+F64+I64+L64+O64+R64+U64+X64+AA64+AD64+AG64+AJ64</f>
        <v>24</v>
      </c>
      <c r="AN64" s="6">
        <f t="shared" ref="AN64:AN70" si="81">D64+G64+J64+M64+P64+S64+V64+Y64+AB64+AE64+AH64+AK64</f>
        <v>10</v>
      </c>
      <c r="AO64" s="34">
        <f t="shared" ref="AO64:AO70" si="82">AN64/AM64</f>
        <v>0.41666666666666669</v>
      </c>
    </row>
    <row r="65" spans="2:41" x14ac:dyDescent="0.5">
      <c r="B65" t="s">
        <v>98</v>
      </c>
      <c r="C65" s="2">
        <f>COUNTIFS(顧客データ!$F$4:$F$1048576,"&gt;=2022/3/1",顧客データ!$F$4:$F$1048576,"&lt;=2022/3/31",顧客データ!$P$4:$P$1048576,"=26~30",顧客データ!$J$4:$J$1048576,"&gt;=2022/3/1")</f>
        <v>7</v>
      </c>
      <c r="D65" s="2">
        <f>COUNTIFS(顧客データ!$F$4:$F$1048576,"&gt;=2022/3/1",顧客データ!$F$4:$F$1048576,"&lt;=2022/3/31",顧客データ!$P$4:$P$1048576,"=26~30",顧客データ!$D$4:$D$1048576,"=*成約*")</f>
        <v>4</v>
      </c>
      <c r="E65" s="13">
        <f t="shared" si="68"/>
        <v>0.5714285714285714</v>
      </c>
      <c r="F65" s="2">
        <f>COUNTIFS(顧客データ!$F$4:$F$1048576,"&gt;=2022/4/1",顧客データ!$F$4:$F$1048576,"&lt;=2022/4/30",顧客データ!$P$4:$P$1048576,"=26~30",顧客データ!$J$4:$J$1048576,"&gt;=2022/4/1")</f>
        <v>10</v>
      </c>
      <c r="G65" s="2">
        <f>COUNTIFS(顧客データ!$F$4:$F$1048576,"&gt;=2022/4/1",顧客データ!$F$4:$F$1048576,"&lt;=2022/4/30",顧客データ!$P$4:$P$1048576,"=26~30",顧客データ!$D$4:$D$1048576,"=*成約*")</f>
        <v>5</v>
      </c>
      <c r="H65" s="13">
        <f t="shared" si="69"/>
        <v>0.5</v>
      </c>
      <c r="I65" s="2">
        <f>COUNTIFS(顧客データ!$F$4:$F$1048576,"&gt;=2022/5/1",顧客データ!$F$4:$F$1048576,"&lt;=2022/5/31",顧客データ!$P$4:$P$1048576,"=26~30",顧客データ!$J$4:$J$1048576,"&gt;=2022/5/1")</f>
        <v>8</v>
      </c>
      <c r="J65" s="2">
        <f>COUNTIFS(顧客データ!$F$4:$F$1048576,"&gt;=2022/5/1",顧客データ!$F$4:$F$1048576,"&lt;=2022/5/31",顧客データ!$P$4:$P$1048576,"=26~30",顧客データ!$D$4:$D$1048576,"=*成約*")</f>
        <v>4</v>
      </c>
      <c r="K65" s="13">
        <f t="shared" si="70"/>
        <v>0.5</v>
      </c>
      <c r="L65" s="2">
        <f>COUNTIFS(顧客データ!$F$4:$F$1048576,"&gt;=2022/6/1",顧客データ!$F$4:$F$1048576,"&lt;=2022/6/30",顧客データ!$P$4:$P$1048576,"=26~30",顧客データ!$J$4:$J$1048576,"&gt;=2022/6/1")</f>
        <v>3</v>
      </c>
      <c r="M65" s="2">
        <f>COUNTIFS(顧客データ!$F$4:$F$1048576,"&gt;=2022/6/1",顧客データ!$F$4:$F$1048576,"&lt;=2022/6/30",顧客データ!$P$4:$P$1048576,"=26~30",顧客データ!$D$4:$D$1048576,"=*成約*")</f>
        <v>0</v>
      </c>
      <c r="N65" s="13">
        <f t="shared" si="71"/>
        <v>0</v>
      </c>
      <c r="O65" s="2">
        <f>COUNTIFS(顧客データ!$F$4:$F$1048576,"&gt;=2022/7/1",顧客データ!$F$4:$F$1048576,"&lt;=2022/7/31",顧客データ!$P$4:$P$1048576,"=26~30",顧客データ!$J$4:$J$1048576,"&gt;=2022/7/1")</f>
        <v>6</v>
      </c>
      <c r="P65" s="2">
        <f>COUNTIFS(顧客データ!$F$4:$F$1048576,"&gt;=2022/7/1",顧客データ!$F$4:$F$1048576,"&lt;=2022/7/31",顧客データ!$P$4:$P$1048576,"=26~30",顧客データ!$D$4:$D$1048576,"=*成約*")</f>
        <v>3</v>
      </c>
      <c r="Q65" s="13">
        <f t="shared" si="72"/>
        <v>0.5</v>
      </c>
      <c r="R65" s="2">
        <f>COUNTIFS(顧客データ!$F$4:$F$1048576,"&gt;=2022/8/1",顧客データ!$F$4:$F$1048576,"&lt;=2022/8/31",顧客データ!$P$4:$P$1048576,"=26~30",顧客データ!$J$4:$J$1048576,"&gt;=2022/8/1")</f>
        <v>4</v>
      </c>
      <c r="S65" s="2">
        <f>COUNTIFS(顧客データ!$F$4:$F$1048576,"&gt;=2022/8/1",顧客データ!$F$4:$F$1048576,"&lt;=2022/8/31",顧客データ!$P$4:$P$1048576,"=26~30",顧客データ!$D$4:$D$1048576,"=*成約*")</f>
        <v>2</v>
      </c>
      <c r="T65" s="13">
        <f t="shared" si="73"/>
        <v>0.5</v>
      </c>
      <c r="U65" s="2">
        <f>COUNTIFS(顧客データ!$F$4:$F$1048576,"&gt;=2022/9/1",顧客データ!$F$4:$F$1048576,"&lt;=2022/9/30",顧客データ!$P$4:$P$1048576,"=26~30",顧客データ!$J$4:$J$1048576,"&gt;=2022/9/1")</f>
        <v>5</v>
      </c>
      <c r="V65" s="2">
        <f>COUNTIFS(顧客データ!$F$4:$F$1048576,"&gt;=2022/9/1",顧客データ!$F$4:$F$1048576,"&lt;=2022/9/30",顧客データ!$P$4:$P$1048576,"=26~30",顧客データ!$D$4:$D$1048576,"=*成約*")</f>
        <v>2</v>
      </c>
      <c r="W65" s="13">
        <f t="shared" si="74"/>
        <v>0.4</v>
      </c>
      <c r="X65" s="2">
        <f>COUNTIFS(顧客データ!$F$4:$F$1048576,"&gt;=2022/10/1",顧客データ!$F$4:$F$1048576,"&lt;=2022/10/31",顧客データ!$P$4:$P$1048576,"=26~30",顧客データ!$J$4:$J$1048576,"&gt;=2022/10/1")</f>
        <v>4</v>
      </c>
      <c r="Y65" s="2">
        <f>COUNTIFS(顧客データ!$F$4:$F$1048576,"&gt;=2022/10/1",顧客データ!$F$4:$F$1048576,"&lt;=2022/10/31",顧客データ!$P$4:$P$1048576,"=26~30",顧客データ!$D$4:$D$1048576,"=*成約*")</f>
        <v>0</v>
      </c>
      <c r="Z65" s="13">
        <f t="shared" si="75"/>
        <v>0</v>
      </c>
      <c r="AA65" s="2">
        <f>COUNTIFS(顧客データ!$F$4:$F$1048576,"&gt;=2022/11/1",顧客データ!$F$4:$F$1048576,"&lt;=2022/11/30",顧客データ!$P$4:$P$1048576,"=26~30",顧客データ!$J$4:$J$1048576,"&gt;=2022/11/1")</f>
        <v>6</v>
      </c>
      <c r="AB65" s="2">
        <f>COUNTIFS(顧客データ!$F$4:$F$1048576,"&gt;=2022/11/1",顧客データ!$F$4:$F$1048576,"&lt;=2022/11/30",顧客データ!$P$4:$P$1048576,"=26~30",顧客データ!$D$4:$D$1048576,"=*成約*")</f>
        <v>2</v>
      </c>
      <c r="AC65" s="33">
        <f t="shared" si="76"/>
        <v>0.33333333333333331</v>
      </c>
      <c r="AD65" s="2">
        <f>COUNTIFS(顧客データ!$F$4:$F$1048576,"&gt;=2022/12/1",顧客データ!$F$4:$F$1048576,"&lt;=2022/12/31",顧客データ!$P$4:$P$1048576,"=26~30",顧客データ!$J$4:$J$1048576,"&gt;=2022/12/1")</f>
        <v>3</v>
      </c>
      <c r="AE65" s="2">
        <f>COUNTIFS(顧客データ!$F$4:$F$1048576,"&gt;=2022/12/1",顧客データ!$F$4:$F$1048576,"&lt;=2022/12/31",顧客データ!$P$4:$P$1048576,"=26~30",顧客データ!$D$4:$D$1048576,"=*成約*")</f>
        <v>1</v>
      </c>
      <c r="AF65" s="34">
        <f t="shared" si="77"/>
        <v>0.33333333333333331</v>
      </c>
      <c r="AG65" s="2">
        <f>COUNTIFS(顧客データ!$F$4:$F$1048576,"&gt;=2023/1/1",顧客データ!$F$4:$F$1048576,"&lt;=2023/1/31",顧客データ!$P$4:$P$1048576,"=26~30",顧客データ!$J$4:$J$1048576,"&gt;=2023/1/1")</f>
        <v>5</v>
      </c>
      <c r="AH65" s="2">
        <f>COUNTIFS(顧客データ!$F$4:$F$1048576,"&gt;=2023/1/1",顧客データ!$F$4:$F$1048576,"&lt;=2023/1/31",顧客データ!$P$4:$P$1048576,"=26~30",顧客データ!$D$4:$D$1048576,"=*成約*")</f>
        <v>0</v>
      </c>
      <c r="AI65" s="34">
        <f t="shared" si="78"/>
        <v>0</v>
      </c>
      <c r="AJ65" s="2">
        <f>COUNTIFS(顧客データ!$F$4:$F$1048576,"&gt;=2023/2/1",顧客データ!$F$4:$F$1048576,"&lt;=2023/2/28",顧客データ!$P$4:$P$1048576,"=26~30",顧客データ!$J$4:$J$1048576,"&gt;=2023/2/1")</f>
        <v>0</v>
      </c>
      <c r="AK65" s="2">
        <f>COUNTIFS(顧客データ!$F$4:$F$1048576,"&gt;=2023/2/1",顧客データ!$F$4:$F$1048576,"&lt;=2023/2/28",顧客データ!$P$4:$P$1048576,"=26~30",顧客データ!$D$4:$D$1048576,"=*成約*")</f>
        <v>0</v>
      </c>
      <c r="AL65" s="34" t="e">
        <f t="shared" si="79"/>
        <v>#DIV/0!</v>
      </c>
      <c r="AM65" s="6">
        <f t="shared" si="80"/>
        <v>61</v>
      </c>
      <c r="AN65" s="6">
        <f t="shared" si="81"/>
        <v>23</v>
      </c>
      <c r="AO65" s="34">
        <f t="shared" si="82"/>
        <v>0.37704918032786883</v>
      </c>
    </row>
    <row r="66" spans="2:41" x14ac:dyDescent="0.5">
      <c r="B66" t="s">
        <v>99</v>
      </c>
      <c r="C66" s="2">
        <f>COUNTIFS(顧客データ!$F$4:$F$1048576,"&gt;=2022/3/1",顧客データ!$F$4:$F$1048576,"&lt;=2022/3/31",顧客データ!$P$4:$P$1048576,"=31~35",顧客データ!$J$4:$J$1048576,"&gt;=2022/3/1")</f>
        <v>2</v>
      </c>
      <c r="D66" s="2">
        <f>COUNTIFS(顧客データ!$F$4:$F$1048576,"&gt;=2022/3/1",顧客データ!$F$4:$F$1048576,"&lt;=2022/3/31",顧客データ!$P$4:$P$1048576,"=31~35",顧客データ!$D$4:$D$1048576,"=*成約*")</f>
        <v>0</v>
      </c>
      <c r="E66" s="13">
        <f t="shared" si="68"/>
        <v>0</v>
      </c>
      <c r="F66" s="2">
        <f>COUNTIFS(顧客データ!$F$4:$F$1048576,"&gt;=2022/4/1",顧客データ!$F$4:$F$1048576,"&lt;=2022/4/30",顧客データ!$P$4:$P$1048576,"=31~35",顧客データ!$J$4:$J$1048576,"&gt;=2022/4/1")</f>
        <v>3</v>
      </c>
      <c r="G66" s="2">
        <f>COUNTIFS(顧客データ!$F$4:$F$1048576,"&gt;=2022/4/1",顧客データ!$F$4:$F$1048576,"&lt;=2022/4/30",顧客データ!$P$4:$P$1048576,"=31~35",顧客データ!$D$4:$D$1048576,"=*成約*")</f>
        <v>2</v>
      </c>
      <c r="H66" s="13">
        <f t="shared" si="69"/>
        <v>0.66666666666666663</v>
      </c>
      <c r="I66" s="2">
        <f>COUNTIFS(顧客データ!$F$4:$F$1048576,"&gt;=2022/5/1",顧客データ!$F$4:$F$1048576,"&lt;=2022/5/31",顧客データ!$P$4:$P$1048576,"=31~35",顧客データ!$J$4:$J$1048576,"&gt;=2022/5/1")</f>
        <v>4</v>
      </c>
      <c r="J66" s="2">
        <f>COUNTIFS(顧客データ!$F$4:$F$1048576,"&gt;=2022/5/1",顧客データ!$F$4:$F$1048576,"&lt;=2022/5/31",顧客データ!$P$4:$P$1048576,"=31~35",顧客データ!$D$4:$D$1048576,"=*成約*")</f>
        <v>2</v>
      </c>
      <c r="K66" s="13">
        <f t="shared" si="70"/>
        <v>0.5</v>
      </c>
      <c r="L66" s="2">
        <f>COUNTIFS(顧客データ!$F$4:$F$1048576,"&gt;=2022/6/1",顧客データ!$F$4:$F$1048576,"&lt;=2022/6/30",顧客データ!$P$4:$P$1048576,"=31~35",顧客データ!$J$4:$J$1048576,"&gt;=2022/6/1")</f>
        <v>2</v>
      </c>
      <c r="M66" s="2">
        <f>COUNTIFS(顧客データ!$F$4:$F$1048576,"&gt;=2022/6/1",顧客データ!$F$4:$F$1048576,"&lt;=2022/6/30",顧客データ!$P$4:$P$1048576,"=31~35",顧客データ!$D$4:$D$1048576,"=*成約*")</f>
        <v>2</v>
      </c>
      <c r="N66" s="13">
        <f t="shared" si="71"/>
        <v>1</v>
      </c>
      <c r="O66" s="2">
        <f>COUNTIFS(顧客データ!$F$4:$F$1048576,"&gt;=2022/7/1",顧客データ!$F$4:$F$1048576,"&lt;=2022/7/31",顧客データ!$P$4:$P$1048576,"=31~35",顧客データ!$J$4:$J$1048576,"&gt;=2022/7/1")</f>
        <v>1</v>
      </c>
      <c r="P66" s="2">
        <f>COUNTIFS(顧客データ!$F$4:$F$1048576,"&gt;=2022/7/1",顧客データ!$F$4:$F$1048576,"&lt;=2022/7/31",顧客データ!$P$4:$P$1048576,"=31~35",顧客データ!$D$4:$D$1048576,"=*成約*")</f>
        <v>0</v>
      </c>
      <c r="Q66" s="13">
        <f t="shared" si="72"/>
        <v>0</v>
      </c>
      <c r="R66" s="2">
        <f>COUNTIFS(顧客データ!$F$4:$F$1048576,"&gt;=2022/8/1",顧客データ!$F$4:$F$1048576,"&lt;=2022/8/31",顧客データ!$P$4:$P$1048576,"=31~35",顧客データ!$J$4:$J$1048576,"&gt;=2022/8/1")</f>
        <v>3</v>
      </c>
      <c r="S66" s="2">
        <f>COUNTIFS(顧客データ!$F$4:$F$1048576,"&gt;=2022/8/1",顧客データ!$F$4:$F$1048576,"&lt;=2022/8/31",顧客データ!$P$4:$P$1048576,"=31~35",顧客データ!$D$4:$D$1048576,"=*成約*")</f>
        <v>0</v>
      </c>
      <c r="T66" s="13">
        <f t="shared" si="73"/>
        <v>0</v>
      </c>
      <c r="U66" s="2">
        <f>COUNTIFS(顧客データ!$F$4:$F$1048576,"&gt;=2022/9/1",顧客データ!$F$4:$F$1048576,"&lt;=2022/9/30",顧客データ!$P$4:$P$1048576,"=31~35",顧客データ!$J$4:$J$1048576,"&gt;=2022/9/1")</f>
        <v>2</v>
      </c>
      <c r="V66" s="2">
        <f>COUNTIFS(顧客データ!$F$4:$F$1048576,"&gt;=2022/9/1",顧客データ!$F$4:$F$1048576,"&lt;=2022/9/30",顧客データ!$P$4:$P$1048576,"=31~35",顧客データ!$D$4:$D$1048576,"=*成約*")</f>
        <v>1</v>
      </c>
      <c r="W66" s="13">
        <f t="shared" si="74"/>
        <v>0.5</v>
      </c>
      <c r="X66" s="2">
        <f>COUNTIFS(顧客データ!$F$4:$F$1048576,"&gt;=2022/10/1",顧客データ!$F$4:$F$1048576,"&lt;=2022/10/31",顧客データ!$P$4:$P$1048576,"=31~35",顧客データ!$J$4:$J$1048576,"&gt;=2022/10/1")</f>
        <v>3</v>
      </c>
      <c r="Y66" s="2">
        <f>COUNTIFS(顧客データ!$F$4:$F$1048576,"&gt;=2022/10/1",顧客データ!$F$4:$F$1048576,"&lt;=2022/10/31",顧客データ!$P$4:$P$1048576,"=31~35",顧客データ!$D$4:$D$1048576,"=*成約*")</f>
        <v>1</v>
      </c>
      <c r="Z66" s="13">
        <f t="shared" si="75"/>
        <v>0.33333333333333331</v>
      </c>
      <c r="AA66" s="2">
        <f>COUNTIFS(顧客データ!$F$4:$F$1048576,"&gt;=2022/11/1",顧客データ!$F$4:$F$1048576,"&lt;=2022/11/30",顧客データ!$P$4:$P$1048576,"=31~35",顧客データ!$J$4:$J$1048576,"&gt;=2022/11/1")</f>
        <v>8</v>
      </c>
      <c r="AB66" s="2">
        <f>COUNTIFS(顧客データ!$F$4:$F$1048576,"&gt;=2022/11/1",顧客データ!$F$4:$F$1048576,"&lt;=2022/11/30",顧客データ!$P$4:$P$1048576,"=31~35",顧客データ!$D$4:$D$1048576,"=*成約*")</f>
        <v>3</v>
      </c>
      <c r="AC66" s="33">
        <f t="shared" si="76"/>
        <v>0.375</v>
      </c>
      <c r="AD66" s="2">
        <f>COUNTIFS(顧客データ!$F$4:$F$1048576,"&gt;=2022/12/1",顧客データ!$F$4:$F$1048576,"&lt;=2022/12/31",顧客データ!$P$4:$P$1048576,"=31~35",顧客データ!$J$4:$J$1048576,"&gt;=2022/12/1")</f>
        <v>3</v>
      </c>
      <c r="AE66" s="2">
        <f>COUNTIFS(顧客データ!$F$4:$F$1048576,"&gt;=2022/12/1",顧客データ!$F$4:$F$1048576,"&lt;=2022/12/31",顧客データ!$P$4:$P$1048576,"=31~35",顧客データ!$D$4:$D$1048576,"=*成約*")</f>
        <v>0</v>
      </c>
      <c r="AF66" s="34">
        <f t="shared" si="77"/>
        <v>0</v>
      </c>
      <c r="AG66" s="2">
        <f>COUNTIFS(顧客データ!$F$4:$F$1048576,"&gt;=2023/1/1",顧客データ!$F$4:$F$1048576,"&lt;=2023/1/31",顧客データ!$P$4:$P$1048576,"=31~35",顧客データ!$J$4:$J$1048576,"&gt;=2023/1/1")</f>
        <v>3</v>
      </c>
      <c r="AH66" s="2">
        <f>COUNTIFS(顧客データ!$F$4:$F$1048576,"&gt;=2023/1/1",顧客データ!$F$4:$F$1048576,"&lt;=2023/1/31",顧客データ!$P$4:$P$1048576,"=31~35",顧客データ!$D$4:$D$1048576,"=*成約*")</f>
        <v>1</v>
      </c>
      <c r="AI66" s="34">
        <f t="shared" si="78"/>
        <v>0.33333333333333331</v>
      </c>
      <c r="AJ66" s="2">
        <f>COUNTIFS(顧客データ!$F$4:$F$1048576,"&gt;=2023/2/1",顧客データ!$F$4:$F$1048576,"&lt;=2023/2/28",顧客データ!$P$4:$P$1048576,"=31~35",顧客データ!$J$4:$J$1048576,"&gt;=2023/2/1")</f>
        <v>0</v>
      </c>
      <c r="AK66" s="2">
        <f>COUNTIFS(顧客データ!$F$4:$F$1048576,"&gt;=2023/2/1",顧客データ!$F$4:$F$1048576,"&lt;=2023/2/28",顧客データ!$P$4:$P$1048576,"=31~35",顧客データ!$D$4:$D$1048576,"=*成約*")</f>
        <v>0</v>
      </c>
      <c r="AL66" s="34" t="e">
        <f t="shared" si="79"/>
        <v>#DIV/0!</v>
      </c>
      <c r="AM66" s="6">
        <f t="shared" si="80"/>
        <v>34</v>
      </c>
      <c r="AN66" s="6">
        <f t="shared" si="81"/>
        <v>12</v>
      </c>
      <c r="AO66" s="34">
        <f t="shared" si="82"/>
        <v>0.35294117647058826</v>
      </c>
    </row>
    <row r="67" spans="2:41" x14ac:dyDescent="0.5">
      <c r="B67" t="s">
        <v>100</v>
      </c>
      <c r="C67" s="2">
        <f>COUNTIFS(顧客データ!$F$4:$F$1048576,"&gt;=2022/3/1",顧客データ!$F$4:$F$1048576,"&lt;=2022/3/31",顧客データ!$P$4:$P$1048576,"=36~40",顧客データ!$J$4:$J$1048576,"&gt;=2022/3/1")</f>
        <v>1</v>
      </c>
      <c r="D67" s="2">
        <f>COUNTIFS(顧客データ!$F$4:$F$1048576,"&gt;=2022/3/1",顧客データ!$F$4:$F$1048576,"&lt;=2022/3/31",顧客データ!$P$4:$P$1048576,"=36~40",顧客データ!$D$4:$D$1048576,"=*成約*")</f>
        <v>1</v>
      </c>
      <c r="E67" s="13">
        <f t="shared" si="68"/>
        <v>1</v>
      </c>
      <c r="F67" s="2">
        <f>COUNTIFS(顧客データ!$F$4:$F$1048576,"&gt;=2022/4/1",顧客データ!$F$4:$F$1048576,"&lt;=2022/4/30",顧客データ!$P$4:$P$1048576,"=36~40",顧客データ!$J$4:$J$1048576,"&gt;=2022/4/1")</f>
        <v>0</v>
      </c>
      <c r="G67" s="2">
        <f>COUNTIFS(顧客データ!$F$4:$F$1048576,"&gt;=2022/4/1",顧客データ!$F$4:$F$1048576,"&lt;=2022/4/30",顧客データ!$P$4:$P$1048576,"=36~40",顧客データ!$D$4:$D$1048576,"=*成約*")</f>
        <v>0</v>
      </c>
      <c r="H67" s="13" t="e">
        <f t="shared" si="69"/>
        <v>#DIV/0!</v>
      </c>
      <c r="I67" s="2">
        <f>COUNTIFS(顧客データ!$F$4:$F$1048576,"&gt;=2022/5/1",顧客データ!$F$4:$F$1048576,"&lt;=2022/5/31",顧客データ!$P$4:$P$1048576,"=36~40",顧客データ!$J$4:$J$1048576,"&gt;=2022/5/1")</f>
        <v>2</v>
      </c>
      <c r="J67" s="2">
        <f>COUNTIFS(顧客データ!$F$4:$F$1048576,"&gt;=2022/5/1",顧客データ!$F$4:$F$1048576,"&lt;=2022/5/31",顧客データ!$P$4:$P$1048576,"=36~40",顧客データ!$D$4:$D$1048576,"=*成約*")</f>
        <v>2</v>
      </c>
      <c r="K67" s="13">
        <f t="shared" si="70"/>
        <v>1</v>
      </c>
      <c r="L67" s="2">
        <f>COUNTIFS(顧客データ!$F$4:$F$1048576,"&gt;=2022/6/1",顧客データ!$F$4:$F$1048576,"&lt;=2022/6/30",顧客データ!$P$4:$P$1048576,"=36~40",顧客データ!$J$4:$J$1048576,"&gt;=2022/6/1")</f>
        <v>0</v>
      </c>
      <c r="M67" s="2">
        <f>COUNTIFS(顧客データ!$F$4:$F$1048576,"&gt;=2022/6/1",顧客データ!$F$4:$F$1048576,"&lt;=2022/6/30",顧客データ!$P$4:$P$1048576,"=36~40",顧客データ!$D$4:$D$1048576,"=*成約*")</f>
        <v>0</v>
      </c>
      <c r="N67" s="13" t="e">
        <f t="shared" si="71"/>
        <v>#DIV/0!</v>
      </c>
      <c r="O67" s="2">
        <f>COUNTIFS(顧客データ!$F$4:$F$1048576,"&gt;=2022/7/1",顧客データ!$F$4:$F$1048576,"&lt;=2022/7/31",顧客データ!$P$4:$P$1048576,"=36~40",顧客データ!$J$4:$J$1048576,"&gt;=2022/7/1")</f>
        <v>2</v>
      </c>
      <c r="P67" s="2">
        <f>COUNTIFS(顧客データ!$F$4:$F$1048576,"&gt;=2022/7/1",顧客データ!$F$4:$F$1048576,"&lt;=2022/7/31",顧客データ!$P$4:$P$1048576,"=36~40",顧客データ!$D$4:$D$1048576,"=*成約*")</f>
        <v>0</v>
      </c>
      <c r="Q67" s="13">
        <f t="shared" si="72"/>
        <v>0</v>
      </c>
      <c r="R67" s="2">
        <f>COUNTIFS(顧客データ!$F$4:$F$1048576,"&gt;=2022/8/1",顧客データ!$F$4:$F$1048576,"&lt;=2022/8/31",顧客データ!$P$4:$P$1048576,"=36~40",顧客データ!$J$4:$J$1048576,"&gt;=2022/8/1")</f>
        <v>0</v>
      </c>
      <c r="S67" s="2">
        <f>COUNTIFS(顧客データ!$F$4:$F$1048576,"&gt;=2022/8/1",顧客データ!$F$4:$F$1048576,"&lt;=2022/8/31",顧客データ!$P$4:$P$1048576,"=36~40",顧客データ!$D$4:$D$1048576,"=*成約*")</f>
        <v>0</v>
      </c>
      <c r="T67" s="13" t="e">
        <f t="shared" si="73"/>
        <v>#DIV/0!</v>
      </c>
      <c r="U67" s="2">
        <f>COUNTIFS(顧客データ!$F$4:$F$1048576,"&gt;=2022/9/1",顧客データ!$F$4:$F$1048576,"&lt;=2022/9/30",顧客データ!$P$4:$P$1048576,"=36~40",顧客データ!$J$4:$J$1048576,"&gt;=2022/9/1")</f>
        <v>0</v>
      </c>
      <c r="V67" s="2">
        <f>COUNTIFS(顧客データ!$F$4:$F$1048576,"&gt;=2022/9/1",顧客データ!$F$4:$F$1048576,"&lt;=2022/9/30",顧客データ!$P$4:$P$1048576,"=36~40",顧客データ!$D$4:$D$1048576,"=*成約*")</f>
        <v>0</v>
      </c>
      <c r="W67" s="13" t="e">
        <f t="shared" si="74"/>
        <v>#DIV/0!</v>
      </c>
      <c r="X67" s="2">
        <f>COUNTIFS(顧客データ!$F$4:$F$1048576,"&gt;=2022/10/1",顧客データ!$F$4:$F$1048576,"&lt;=2022/10/31",顧客データ!$P$4:$P$1048576,"=36~40",顧客データ!$J$4:$J$1048576,"&gt;=2022/10/1")</f>
        <v>0</v>
      </c>
      <c r="Y67" s="2">
        <f>COUNTIFS(顧客データ!$F$4:$F$1048576,"&gt;=2022/10/1",顧客データ!$F$4:$F$1048576,"&lt;=2022/10/31",顧客データ!$P$4:$P$1048576,"=36~40",顧客データ!$D$4:$D$1048576,"=*成約*")</f>
        <v>0</v>
      </c>
      <c r="Z67" s="13" t="e">
        <f t="shared" si="75"/>
        <v>#DIV/0!</v>
      </c>
      <c r="AA67" s="2">
        <f>COUNTIFS(顧客データ!$F$4:$F$1048576,"&gt;=2022/11/1",顧客データ!$F$4:$F$1048576,"&lt;=2022/11/30",顧客データ!$P$4:$P$1048576,"=36~40",顧客データ!$J$4:$J$1048576,"&gt;=2022/11/1")</f>
        <v>0</v>
      </c>
      <c r="AB67" s="2">
        <f>COUNTIFS(顧客データ!$F$4:$F$1048576,"&gt;=2022/11/1",顧客データ!$F$4:$F$1048576,"&lt;=2022/11/30",顧客データ!$P$4:$P$1048576,"=36~40",顧客データ!$D$4:$D$1048576,"=*成約*")</f>
        <v>0</v>
      </c>
      <c r="AC67" s="33" t="e">
        <f t="shared" si="76"/>
        <v>#DIV/0!</v>
      </c>
      <c r="AD67" s="2">
        <f>COUNTIFS(顧客データ!$F$4:$F$1048576,"&gt;=2022/12/1",顧客データ!$F$4:$F$1048576,"&lt;=2022/12/31",顧客データ!$P$4:$P$1048576,"=36~40",顧客データ!$J$4:$J$1048576,"&gt;=2022/12/1")</f>
        <v>0</v>
      </c>
      <c r="AE67" s="2">
        <f>COUNTIFS(顧客データ!$F$4:$F$1048576,"&gt;=2022/12/1",顧客データ!$F$4:$F$1048576,"&lt;=2022/12/31",顧客データ!$P$4:$P$1048576,"=36~40",顧客データ!$D$4:$D$1048576,"=*成約*")</f>
        <v>0</v>
      </c>
      <c r="AF67" s="34" t="e">
        <f t="shared" si="77"/>
        <v>#DIV/0!</v>
      </c>
      <c r="AG67" s="2">
        <f>COUNTIFS(顧客データ!$F$4:$F$1048576,"&gt;=2023/1/1",顧客データ!$F$4:$F$1048576,"&lt;=2023/1/31",顧客データ!$P$4:$P$1048576,"=36~40",顧客データ!$J$4:$J$1048576,"&gt;=2023/1/1")</f>
        <v>0</v>
      </c>
      <c r="AH67" s="2">
        <f>COUNTIFS(顧客データ!$F$4:$F$1048576,"&gt;=2023/1/1",顧客データ!$F$4:$F$1048576,"&lt;=2023/1/31",顧客データ!$P$4:$P$1048576,"=36~40",顧客データ!$D$4:$D$1048576,"=*成約*")</f>
        <v>0</v>
      </c>
      <c r="AI67" s="34" t="e">
        <f t="shared" si="78"/>
        <v>#DIV/0!</v>
      </c>
      <c r="AJ67" s="2">
        <f>COUNTIFS(顧客データ!$F$4:$F$1048576,"&gt;=2023/2/1",顧客データ!$F$4:$F$1048576,"&lt;=2023/2/28",顧客データ!$P$4:$P$1048576,"=36~40",顧客データ!$J$4:$J$1048576,"&gt;=2023/2/1")</f>
        <v>0</v>
      </c>
      <c r="AK67" s="2">
        <f>COUNTIFS(顧客データ!$F$4:$F$1048576,"&gt;=2023/2/1",顧客データ!$F$4:$F$1048576,"&lt;=2023/2/28",顧客データ!$P$4:$P$1048576,"=36~40",顧客データ!$D$4:$D$1048576,"=*成約*")</f>
        <v>0</v>
      </c>
      <c r="AL67" s="34" t="e">
        <f t="shared" si="79"/>
        <v>#DIV/0!</v>
      </c>
      <c r="AM67" s="6">
        <f t="shared" si="80"/>
        <v>5</v>
      </c>
      <c r="AN67" s="6">
        <f t="shared" si="81"/>
        <v>3</v>
      </c>
      <c r="AO67" s="34">
        <f t="shared" si="82"/>
        <v>0.6</v>
      </c>
    </row>
    <row r="68" spans="2:41" x14ac:dyDescent="0.5">
      <c r="B68" t="s">
        <v>101</v>
      </c>
      <c r="C68" s="2">
        <f>COUNTIFS(顧客データ!$F$4:$F$1048576,"&gt;=2022/3/1",顧客データ!$F$4:$F$1048576,"&lt;=2022/3/31",顧客データ!$P$4:$P$1048576,"=41~45",顧客データ!$J$4:$J$1048576,"&gt;=2022/3/1")</f>
        <v>0</v>
      </c>
      <c r="D68" s="2">
        <f>COUNTIFS(顧客データ!$F$4:$F$1048576,"&gt;=2022/3/1",顧客データ!$F$4:$F$1048576,"&lt;=2022/3/31",顧客データ!$P$4:$P$1048576,"=41~45",顧客データ!$D$4:$D$1048576,"=*成約*")</f>
        <v>0</v>
      </c>
      <c r="E68" s="13" t="e">
        <f t="shared" si="68"/>
        <v>#DIV/0!</v>
      </c>
      <c r="F68" s="2">
        <f>COUNTIFS(顧客データ!$F$4:$F$1048576,"&gt;=2022/4/1",顧客データ!$F$4:$F$1048576,"&lt;=2022/4/30",顧客データ!$P$4:$P$1048576,"=41~45",顧客データ!$J$4:$J$1048576,"&gt;=2022/4/1")</f>
        <v>0</v>
      </c>
      <c r="G68" s="2">
        <f>COUNTIFS(顧客データ!$F$4:$F$1048576,"&gt;=2022/4/1",顧客データ!$F$4:$F$1048576,"&lt;=2022/4/30",顧客データ!$P$4:$P$1048576,"=41~45",顧客データ!$D$4:$D$1048576,"=*成約*")</f>
        <v>0</v>
      </c>
      <c r="H68" s="13" t="e">
        <f t="shared" si="69"/>
        <v>#DIV/0!</v>
      </c>
      <c r="I68" s="2">
        <f>COUNTIFS(顧客データ!$F$4:$F$1048576,"&gt;=2022/5/1",顧客データ!$F$4:$F$1048576,"&lt;=2022/5/31",顧客データ!$P$4:$P$1048576,"=41~45",顧客データ!$J$4:$J$1048576,"&gt;=2022/5/1")</f>
        <v>0</v>
      </c>
      <c r="J68" s="2">
        <f>COUNTIFS(顧客データ!$F$4:$F$1048576,"&gt;=2022/5/1",顧客データ!$F$4:$F$1048576,"&lt;=2022/5/31",顧客データ!$P$4:$P$1048576,"=41~45",顧客データ!$D$4:$D$1048576,"=*成約*")</f>
        <v>0</v>
      </c>
      <c r="K68" s="13" t="e">
        <f t="shared" si="70"/>
        <v>#DIV/0!</v>
      </c>
      <c r="L68" s="2">
        <f>COUNTIFS(顧客データ!$F$4:$F$1048576,"&gt;=2022/6/1",顧客データ!$F$4:$F$1048576,"&lt;=2022/6/30",顧客データ!$P$4:$P$1048576,"=41~45",顧客データ!$J$4:$J$1048576,"&gt;=2022/6/1")</f>
        <v>0</v>
      </c>
      <c r="M68" s="2">
        <f>COUNTIFS(顧客データ!$F$4:$F$1048576,"&gt;=2022/6/1",顧客データ!$F$4:$F$1048576,"&lt;=2022/6/30",顧客データ!$P$4:$P$1048576,"=41~45",顧客データ!$D$4:$D$1048576,"=*成約*")</f>
        <v>0</v>
      </c>
      <c r="N68" s="13" t="e">
        <f t="shared" si="71"/>
        <v>#DIV/0!</v>
      </c>
      <c r="O68" s="2">
        <f>COUNTIFS(顧客データ!$F$4:$F$1048576,"&gt;=2022/7/1",顧客データ!$F$4:$F$1048576,"&lt;=2022/7/31",顧客データ!$P$4:$P$1048576,"=41~45",顧客データ!$J$4:$J$1048576,"&gt;=2022/7/1")</f>
        <v>0</v>
      </c>
      <c r="P68" s="2">
        <f>COUNTIFS(顧客データ!$F$4:$F$1048576,"&gt;=2022/7/1",顧客データ!$F$4:$F$1048576,"&lt;=2022/7/31",顧客データ!$P$4:$P$1048576,"=41~45",顧客データ!$D$4:$D$1048576,"=*成約*")</f>
        <v>0</v>
      </c>
      <c r="Q68" s="13" t="e">
        <f t="shared" si="72"/>
        <v>#DIV/0!</v>
      </c>
      <c r="R68" s="2">
        <f>COUNTIFS(顧客データ!$F$4:$F$1048576,"&gt;=2022/8/1",顧客データ!$F$4:$F$1048576,"&lt;=2022/8/31",顧客データ!$P$4:$P$1048576,"=41~45",顧客データ!$J$4:$J$1048576,"&gt;=2022/8/1")</f>
        <v>0</v>
      </c>
      <c r="S68" s="2">
        <f>COUNTIFS(顧客データ!$F$4:$F$1048576,"&gt;=2022/8/1",顧客データ!$F$4:$F$1048576,"&lt;=2022/8/31",顧客データ!$P$4:$P$1048576,"=41~45",顧客データ!$D$4:$D$1048576,"=*成約*")</f>
        <v>0</v>
      </c>
      <c r="T68" s="13" t="e">
        <f t="shared" si="73"/>
        <v>#DIV/0!</v>
      </c>
      <c r="U68" s="2">
        <f>COUNTIFS(顧客データ!$F$4:$F$1048576,"&gt;=2022/9/1",顧客データ!$F$4:$F$1048576,"&lt;=2022/9/30",顧客データ!$P$4:$P$1048576,"=41~45",顧客データ!$J$4:$J$1048576,"&gt;=2022/9/1")</f>
        <v>0</v>
      </c>
      <c r="V68" s="2">
        <f>COUNTIFS(顧客データ!$F$4:$F$1048576,"&gt;=2022/9/1",顧客データ!$F$4:$F$1048576,"&lt;=2022/9/30",顧客データ!$P$4:$P$1048576,"=41~45",顧客データ!$D$4:$D$1048576,"=*成約*")</f>
        <v>0</v>
      </c>
      <c r="W68" s="13" t="e">
        <f t="shared" si="74"/>
        <v>#DIV/0!</v>
      </c>
      <c r="X68" s="2">
        <f>COUNTIFS(顧客データ!$F$4:$F$1048576,"&gt;=2022/10/1",顧客データ!$F$4:$F$1048576,"&lt;=2022/10/31",顧客データ!$P$4:$P$1048576,"=41~45",顧客データ!$J$4:$J$1048576,"&gt;=2022/10/1")</f>
        <v>0</v>
      </c>
      <c r="Y68" s="2">
        <f>COUNTIFS(顧客データ!$F$4:$F$1048576,"&gt;=2022/10/1",顧客データ!$F$4:$F$1048576,"&lt;=2022/10/31",顧客データ!$P$4:$P$1048576,"=41~45",顧客データ!$D$4:$D$1048576,"=*成約*")</f>
        <v>0</v>
      </c>
      <c r="Z68" s="13" t="e">
        <f t="shared" si="75"/>
        <v>#DIV/0!</v>
      </c>
      <c r="AA68" s="2">
        <f>COUNTIFS(顧客データ!$F$4:$F$1048576,"&gt;=2022/11/1",顧客データ!$F$4:$F$1048576,"&lt;=2022/11/30",顧客データ!$P$4:$P$1048576,"=41~45",顧客データ!$J$4:$J$1048576,"&gt;=2022/11/1")</f>
        <v>0</v>
      </c>
      <c r="AB68" s="2">
        <f>COUNTIFS(顧客データ!$F$4:$F$1048576,"&gt;=2022/11/1",顧客データ!$F$4:$F$1048576,"&lt;=2022/11/30",顧客データ!$P$4:$P$1048576,"=41~45",顧客データ!$D$4:$D$1048576,"=*成約*")</f>
        <v>0</v>
      </c>
      <c r="AC68" s="33" t="e">
        <f t="shared" si="76"/>
        <v>#DIV/0!</v>
      </c>
      <c r="AD68" s="2">
        <f>COUNTIFS(顧客データ!$F$4:$F$1048576,"&gt;=2022/12/1",顧客データ!$F$4:$F$1048576,"&lt;=2022/12/31",顧客データ!$P$4:$P$1048576,"=41~45",顧客データ!$J$4:$J$1048576,"&gt;=2022/12/1")</f>
        <v>0</v>
      </c>
      <c r="AE68" s="2">
        <f>COUNTIFS(顧客データ!$F$4:$F$1048576,"&gt;=2022/12/1",顧客データ!$F$4:$F$1048576,"&lt;=2022/12/31",顧客データ!$P$4:$P$1048576,"=41~45",顧客データ!$D$4:$D$1048576,"=*成約*")</f>
        <v>0</v>
      </c>
      <c r="AF68" s="34" t="e">
        <f t="shared" si="77"/>
        <v>#DIV/0!</v>
      </c>
      <c r="AG68" s="2">
        <f>COUNTIFS(顧客データ!$F$4:$F$1048576,"&gt;=2023/1/1",顧客データ!$F$4:$F$1048576,"&lt;=2023/1/31",顧客データ!$P$4:$P$1048576,"=41~45",顧客データ!$J$4:$J$1048576,"&gt;=2023/1/1")</f>
        <v>0</v>
      </c>
      <c r="AH68" s="2">
        <f>COUNTIFS(顧客データ!$F$4:$F$1048576,"&gt;=2023/1/1",顧客データ!$F$4:$F$1048576,"&lt;=2023/1/31",顧客データ!$P$4:$P$1048576,"=41~45",顧客データ!$D$4:$D$1048576,"=*成約*")</f>
        <v>0</v>
      </c>
      <c r="AI68" s="34" t="e">
        <f t="shared" si="78"/>
        <v>#DIV/0!</v>
      </c>
      <c r="AJ68" s="2">
        <f>COUNTIFS(顧客データ!$F$4:$F$1048576,"&gt;=2023/2/1",顧客データ!$F$4:$F$1048576,"&lt;=2023/2/28",顧客データ!$P$4:$P$1048576,"=41~45",顧客データ!$J$4:$J$1048576,"&gt;=2023/2/1")</f>
        <v>0</v>
      </c>
      <c r="AK68" s="2">
        <f>COUNTIFS(顧客データ!$F$4:$F$1048576,"&gt;=2023/2/1",顧客データ!$F$4:$F$1048576,"&lt;=2023/2/28",顧客データ!$P$4:$P$1048576,"=41~45",顧客データ!$D$4:$D$1048576,"=*成約*")</f>
        <v>0</v>
      </c>
      <c r="AL68" s="34" t="e">
        <f t="shared" si="79"/>
        <v>#DIV/0!</v>
      </c>
      <c r="AM68" s="6">
        <f t="shared" si="80"/>
        <v>0</v>
      </c>
      <c r="AN68" s="6">
        <f t="shared" si="81"/>
        <v>0</v>
      </c>
      <c r="AO68" s="34" t="e">
        <f t="shared" si="82"/>
        <v>#DIV/0!</v>
      </c>
    </row>
    <row r="69" spans="2:41" x14ac:dyDescent="0.5">
      <c r="B69" t="s">
        <v>102</v>
      </c>
      <c r="C69" s="2">
        <f>COUNTIFS(顧客データ!$F$4:$F$1048576,"&gt;=2022/3/1",顧客データ!$F$4:$F$1048576,"&lt;=2022/3/31",顧客データ!$P$4:$P$1048576,"=46~50",顧客データ!$J$4:$J$1048576,"&gt;=2022/3/1")</f>
        <v>0</v>
      </c>
      <c r="D69" s="2">
        <f>COUNTIFS(顧客データ!$F$4:$F$1048576,"&gt;=2022/3/1",顧客データ!$F$4:$F$1048576,"&lt;=2022/3/31",顧客データ!$P$4:$P$1048576,"=46~50",顧客データ!$D$4:$D$1048576,"=*成約*")</f>
        <v>0</v>
      </c>
      <c r="E69" s="13" t="e">
        <f t="shared" si="68"/>
        <v>#DIV/0!</v>
      </c>
      <c r="F69" s="2">
        <f>COUNTIFS(顧客データ!$F$4:$F$1048576,"&gt;=2022/4/1",顧客データ!$F$4:$F$1048576,"&lt;=2022/4/30",顧客データ!$P$4:$P$1048576,"=46~50",顧客データ!$J$4:$J$1048576,"&gt;=2022/4/1")</f>
        <v>1</v>
      </c>
      <c r="G69" s="2">
        <f>COUNTIFS(顧客データ!$F$4:$F$1048576,"&gt;=2022/4/1",顧客データ!$F$4:$F$1048576,"&lt;=2022/4/30",顧客データ!$P$4:$P$1048576,"=46~50",顧客データ!$D$4:$D$1048576,"=*成約*")</f>
        <v>0</v>
      </c>
      <c r="H69" s="13">
        <f t="shared" si="69"/>
        <v>0</v>
      </c>
      <c r="I69" s="2">
        <f>COUNTIFS(顧客データ!$F$4:$F$1048576,"&gt;=2022/5/1",顧客データ!$F$4:$F$1048576,"&lt;=2022/5/31",顧客データ!$P$4:$P$1048576,"=46~50",顧客データ!$J$4:$J$1048576,"&gt;=2022/5/1")</f>
        <v>0</v>
      </c>
      <c r="J69" s="2">
        <f>COUNTIFS(顧客データ!$F$4:$F$1048576,"&gt;=2022/5/1",顧客データ!$F$4:$F$1048576,"&lt;=2022/5/31",顧客データ!$P$4:$P$1048576,"=46~50",顧客データ!$D$4:$D$1048576,"=*成約*")</f>
        <v>0</v>
      </c>
      <c r="K69" s="13" t="e">
        <f t="shared" si="70"/>
        <v>#DIV/0!</v>
      </c>
      <c r="L69" s="2">
        <f>COUNTIFS(顧客データ!$F$4:$F$1048576,"&gt;=2022/6/1",顧客データ!$F$4:$F$1048576,"&lt;=2022/6/30",顧客データ!$P$4:$P$1048576,"=46~50",顧客データ!$J$4:$J$1048576,"&gt;=2022/6/1")</f>
        <v>0</v>
      </c>
      <c r="M69" s="2">
        <f>COUNTIFS(顧客データ!$F$4:$F$1048576,"&gt;=2022/6/1",顧客データ!$F$4:$F$1048576,"&lt;=2022/6/30",顧客データ!$P$4:$P$1048576,"=46~50",顧客データ!$D$4:$D$1048576,"=*成約*")</f>
        <v>0</v>
      </c>
      <c r="N69" s="13" t="e">
        <f t="shared" si="71"/>
        <v>#DIV/0!</v>
      </c>
      <c r="O69" s="2">
        <f>COUNTIFS(顧客データ!$F$4:$F$1048576,"&gt;=2022/7/1",顧客データ!$F$4:$F$1048576,"&lt;=2022/7/31",顧客データ!$P$4:$P$1048576,"=46~50",顧客データ!$J$4:$J$1048576,"&gt;=2022/7/1")</f>
        <v>0</v>
      </c>
      <c r="P69" s="2">
        <f>COUNTIFS(顧客データ!$F$4:$F$1048576,"&gt;=2022/7/1",顧客データ!$F$4:$F$1048576,"&lt;=2022/7/31",顧客データ!$P$4:$P$1048576,"=46~50",顧客データ!$D$4:$D$1048576,"=*成約*")</f>
        <v>0</v>
      </c>
      <c r="Q69" s="13" t="e">
        <f t="shared" si="72"/>
        <v>#DIV/0!</v>
      </c>
      <c r="R69" s="2">
        <f>COUNTIFS(顧客データ!$F$4:$F$1048576,"&gt;=2022/8/1",顧客データ!$F$4:$F$1048576,"&lt;=2022/8/31",顧客データ!$P$4:$P$1048576,"=46~50",顧客データ!$J$4:$J$1048576,"&gt;=2022/8/1")</f>
        <v>0</v>
      </c>
      <c r="S69" s="2">
        <f>COUNTIFS(顧客データ!$F$4:$F$1048576,"&gt;=2022/8/1",顧客データ!$F$4:$F$1048576,"&lt;=2022/8/31",顧客データ!$P$4:$P$1048576,"=46~50",顧客データ!$D$4:$D$1048576,"=*成約*")</f>
        <v>0</v>
      </c>
      <c r="T69" s="13" t="e">
        <f t="shared" si="73"/>
        <v>#DIV/0!</v>
      </c>
      <c r="U69" s="2">
        <f>COUNTIFS(顧客データ!$F$4:$F$1048576,"&gt;=2022/9/1",顧客データ!$F$4:$F$1048576,"&lt;=2022/9/30",顧客データ!$P$4:$P$1048576,"=46~50",顧客データ!$J$4:$J$1048576,"&gt;=2022/9/1")</f>
        <v>0</v>
      </c>
      <c r="V69" s="2">
        <f>COUNTIFS(顧客データ!$F$4:$F$1048576,"&gt;=2022/9/1",顧客データ!$F$4:$F$1048576,"&lt;=2022/9/30",顧客データ!$P$4:$P$1048576,"=46~50",顧客データ!$D$4:$D$1048576,"=*成約*")</f>
        <v>0</v>
      </c>
      <c r="W69" s="13" t="e">
        <f t="shared" si="74"/>
        <v>#DIV/0!</v>
      </c>
      <c r="X69" s="2">
        <f>COUNTIFS(顧客データ!$F$4:$F$1048576,"&gt;=2022/10/1",顧客データ!$F$4:$F$1048576,"&lt;=2022/10/31",顧客データ!$P$4:$P$1048576,"=46~50",顧客データ!$J$4:$J$1048576,"&gt;=2022/10/1")</f>
        <v>0</v>
      </c>
      <c r="Y69" s="2">
        <f>COUNTIFS(顧客データ!$F$4:$F$1048576,"&gt;=2022/10/1",顧客データ!$F$4:$F$1048576,"&lt;=2022/10/31",顧客データ!$P$4:$P$1048576,"=46~50",顧客データ!$D$4:$D$1048576,"=*成約*")</f>
        <v>0</v>
      </c>
      <c r="Z69" s="13" t="e">
        <f t="shared" si="75"/>
        <v>#DIV/0!</v>
      </c>
      <c r="AA69" s="2">
        <f>COUNTIFS(顧客データ!$F$4:$F$1048576,"&gt;=2022/11/1",顧客データ!$F$4:$F$1048576,"&lt;=2022/11/30",顧客データ!$P$4:$P$1048576,"=46~50",顧客データ!$J$4:$J$1048576,"&gt;=2022/11/1")</f>
        <v>0</v>
      </c>
      <c r="AB69" s="2">
        <f>COUNTIFS(顧客データ!$F$4:$F$1048576,"&gt;=2022/11/1",顧客データ!$F$4:$F$1048576,"&lt;=2022/11/30",顧客データ!$P$4:$P$1048576,"=46~50",顧客データ!$D$4:$D$1048576,"=*成約*")</f>
        <v>0</v>
      </c>
      <c r="AC69" s="33" t="e">
        <f t="shared" si="76"/>
        <v>#DIV/0!</v>
      </c>
      <c r="AD69" s="2">
        <f>COUNTIFS(顧客データ!$F$4:$F$1048576,"&gt;=2022/12/1",顧客データ!$F$4:$F$1048576,"&lt;=2022/12/31",顧客データ!$P$4:$P$1048576,"=46~50",顧客データ!$J$4:$J$1048576,"&gt;=2022/12/1")</f>
        <v>0</v>
      </c>
      <c r="AE69" s="2">
        <f>COUNTIFS(顧客データ!$F$4:$F$1048576,"&gt;=2022/12/1",顧客データ!$F$4:$F$1048576,"&lt;=2022/12/31",顧客データ!$P$4:$P$1048576,"=46~50",顧客データ!$D$4:$D$1048576,"=*成約*")</f>
        <v>0</v>
      </c>
      <c r="AF69" s="34" t="e">
        <f t="shared" si="77"/>
        <v>#DIV/0!</v>
      </c>
      <c r="AG69" s="2">
        <f>COUNTIFS(顧客データ!$F$4:$F$1048576,"&gt;=2023/1/1",顧客データ!$F$4:$F$1048576,"&lt;=2023/1/31",顧客データ!$P$4:$P$1048576,"=46~50",顧客データ!$J$4:$J$1048576,"&gt;=2023/1/1")</f>
        <v>0</v>
      </c>
      <c r="AH69" s="2">
        <f>COUNTIFS(顧客データ!$F$4:$F$1048576,"&gt;=2023/1/1",顧客データ!$F$4:$F$1048576,"&lt;=2023/1/31",顧客データ!$P$4:$P$1048576,"=46~50",顧客データ!$D$4:$D$1048576,"=*成約*")</f>
        <v>0</v>
      </c>
      <c r="AI69" s="34" t="e">
        <f t="shared" si="78"/>
        <v>#DIV/0!</v>
      </c>
      <c r="AJ69" s="2">
        <f>COUNTIFS(顧客データ!$F$4:$F$1048576,"&gt;=2023/2/1",顧客データ!$F$4:$F$1048576,"&lt;=2023/2/28",顧客データ!$P$4:$P$1048576,"=46~50",顧客データ!$J$4:$J$1048576,"&gt;=2023/2/1")</f>
        <v>0</v>
      </c>
      <c r="AK69" s="2">
        <f>COUNTIFS(顧客データ!$F$4:$F$1048576,"&gt;=2023/2/1",顧客データ!$F$4:$F$1048576,"&lt;=2023/2/28",顧客データ!$P$4:$P$1048576,"=46~50",顧客データ!$D$4:$D$1048576,"=*成約*")</f>
        <v>0</v>
      </c>
      <c r="AL69" s="34" t="e">
        <f t="shared" si="79"/>
        <v>#DIV/0!</v>
      </c>
      <c r="AM69" s="6">
        <f t="shared" si="80"/>
        <v>1</v>
      </c>
      <c r="AN69" s="6">
        <f t="shared" si="81"/>
        <v>0</v>
      </c>
      <c r="AO69" s="34">
        <f t="shared" si="82"/>
        <v>0</v>
      </c>
    </row>
    <row r="70" spans="2:41" x14ac:dyDescent="0.5">
      <c r="B70" t="s">
        <v>103</v>
      </c>
      <c r="C70" s="2">
        <f>COUNTIFS(顧客データ!$F$4:$F$1048576,"&gt;=2022/3/1",顧客データ!$F$4:$F$1048576,"&lt;=2022/3/31",顧客データ!$P$4:$P$1048576,"=不明",顧客データ!$J$4:$J$1048576,"&gt;=2022/3/1")</f>
        <v>0</v>
      </c>
      <c r="D70" s="2">
        <f>COUNTIFS(顧客データ!$F$4:$F$1048576,"&gt;=2022/3/1",顧客データ!$F$4:$F$1048576,"&lt;=2022/3/31",顧客データ!$P$4:$P$1048576,"=不明",顧客データ!$D$4:$D$1048576,"=*成約*")</f>
        <v>0</v>
      </c>
      <c r="E70" s="13" t="e">
        <f t="shared" si="68"/>
        <v>#DIV/0!</v>
      </c>
      <c r="F70" s="2">
        <f>COUNTIFS(顧客データ!$F$4:$F$1048576,"&gt;=2022/4/1",顧客データ!$F$4:$F$1048576,"&lt;=2022/4/30",顧客データ!$P$4:$P$1048576,"=不明",顧客データ!$J$4:$J$1048576,"&gt;=2022/4/1")</f>
        <v>0</v>
      </c>
      <c r="G70" s="2">
        <f>COUNTIFS(顧客データ!$F$4:$F$1048576,"&gt;=2022/4/1",顧客データ!$F$4:$F$1048576,"&lt;=2022/4/30",顧客データ!$P$4:$P$1048576,"=不明",顧客データ!$D$4:$D$1048576,"=*成約*")</f>
        <v>0</v>
      </c>
      <c r="H70" s="13" t="e">
        <f t="shared" si="69"/>
        <v>#DIV/0!</v>
      </c>
      <c r="I70" s="2">
        <f>COUNTIFS(顧客データ!$F$4:$F$1048576,"&gt;=2022/5/1",顧客データ!$F$4:$F$1048576,"&lt;=2022/5/31",顧客データ!$P$4:$P$1048576,"=不明",顧客データ!$J$4:$J$1048576,"&gt;=2022/5/1")</f>
        <v>0</v>
      </c>
      <c r="J70" s="2">
        <f>COUNTIFS(顧客データ!$F$4:$F$1048576,"&gt;=2022/5/1",顧客データ!$F$4:$F$1048576,"&lt;=2022/5/31",顧客データ!$P$4:$P$1048576,"=不明",顧客データ!$D$4:$D$1048576,"=*成約*")</f>
        <v>0</v>
      </c>
      <c r="K70" s="13" t="e">
        <f t="shared" si="70"/>
        <v>#DIV/0!</v>
      </c>
      <c r="L70" s="2">
        <f>COUNTIFS(顧客データ!$F$4:$F$1048576,"&gt;=2022/6/1",顧客データ!$F$4:$F$1048576,"&lt;=2022/6/30",顧客データ!$P$4:$P$1048576,"=不明",顧客データ!$J$4:$J$1048576,"&gt;=2022/6/1")</f>
        <v>0</v>
      </c>
      <c r="M70" s="2">
        <f>COUNTIFS(顧客データ!$F$4:$F$1048576,"&gt;=2022/6/1",顧客データ!$F$4:$F$1048576,"&lt;=2022/6/30",顧客データ!$P$4:$P$1048576,"=不明",顧客データ!$D$4:$D$1048576,"=*成約*")</f>
        <v>0</v>
      </c>
      <c r="N70" s="13" t="e">
        <f t="shared" si="71"/>
        <v>#DIV/0!</v>
      </c>
      <c r="O70" s="2">
        <f>COUNTIFS(顧客データ!$F$4:$F$1048576,"&gt;=2022/7/1",顧客データ!$F$4:$F$1048576,"&lt;=2022/7/31",顧客データ!$P$4:$P$1048576,"=不明",顧客データ!$J$4:$J$1048576,"&gt;=2022/7/1")</f>
        <v>0</v>
      </c>
      <c r="P70" s="2">
        <f>COUNTIFS(顧客データ!$F$4:$F$1048576,"&gt;=2022/7/1",顧客データ!$F$4:$F$1048576,"&lt;=2022/7/31",顧客データ!$P$4:$P$1048576,"=不明",顧客データ!$D$4:$D$1048576,"=*成約*")</f>
        <v>0</v>
      </c>
      <c r="Q70" s="13" t="e">
        <f t="shared" si="72"/>
        <v>#DIV/0!</v>
      </c>
      <c r="R70" s="2">
        <f>COUNTIFS(顧客データ!$F$4:$F$1048576,"&gt;=2022/8/1",顧客データ!$F$4:$F$1048576,"&lt;=2022/8/31",顧客データ!$P$4:$P$1048576,"=不明",顧客データ!$J$4:$J$1048576,"&gt;=2022/8/1")</f>
        <v>0</v>
      </c>
      <c r="S70" s="2">
        <f>COUNTIFS(顧客データ!$F$4:$F$1048576,"&gt;=2022/8/1",顧客データ!$F$4:$F$1048576,"&lt;=2022/8/31",顧客データ!$P$4:$P$1048576,"=不明",顧客データ!$D$4:$D$1048576,"=*成約*")</f>
        <v>0</v>
      </c>
      <c r="T70" s="13" t="e">
        <f t="shared" si="73"/>
        <v>#DIV/0!</v>
      </c>
      <c r="U70" s="2">
        <f>COUNTIFS(顧客データ!$F$4:$F$1048576,"&gt;=2022/9/1",顧客データ!$F$4:$F$1048576,"&lt;=2022/9/30",顧客データ!$P$4:$P$1048576,"=不明",顧客データ!$J$4:$J$1048576,"&gt;=2022/9/1")</f>
        <v>0</v>
      </c>
      <c r="V70" s="2">
        <f>COUNTIFS(顧客データ!$F$4:$F$1048576,"&gt;=2022/9/1",顧客データ!$F$4:$F$1048576,"&lt;=2022/9/30",顧客データ!$P$4:$P$1048576,"=不明",顧客データ!$D$4:$D$1048576,"=*成約*")</f>
        <v>0</v>
      </c>
      <c r="W70" s="13" t="e">
        <f t="shared" si="74"/>
        <v>#DIV/0!</v>
      </c>
      <c r="X70" s="2">
        <f>COUNTIFS(顧客データ!$F$4:$F$1048576,"&gt;=2022/10/1",顧客データ!$F$4:$F$1048576,"&lt;=2022/10/31",顧客データ!$P$4:$P$1048576,"=不明",顧客データ!$J$4:$J$1048576,"&gt;=2022/10/1")</f>
        <v>0</v>
      </c>
      <c r="Y70" s="2">
        <f>COUNTIFS(顧客データ!$F$4:$F$1048576,"&gt;=2022/10/1",顧客データ!$F$4:$F$1048576,"&lt;=2022/10/31",顧客データ!$P$4:$P$1048576,"=不明",顧客データ!$D$4:$D$1048576,"=*成約*")</f>
        <v>0</v>
      </c>
      <c r="Z70" s="13" t="e">
        <f t="shared" si="75"/>
        <v>#DIV/0!</v>
      </c>
      <c r="AA70" s="2">
        <f>COUNTIFS(顧客データ!$F$4:$F$1048576,"&gt;=2022/11/1",顧客データ!$F$4:$F$1048576,"&lt;=2022/11/30",顧客データ!$P$4:$P$1048576,"=不明",顧客データ!$J$4:$J$1048576,"&gt;=2022/11/1")</f>
        <v>0</v>
      </c>
      <c r="AB70" s="2">
        <f>COUNTIFS(顧客データ!$F$4:$F$1048576,"&gt;=2022/11/1",顧客データ!$F$4:$F$1048576,"&lt;=2022/11/30",顧客データ!$P$4:$P$1048576,"=不明",顧客データ!$D$4:$D$1048576,"=*成約*")</f>
        <v>0</v>
      </c>
      <c r="AC70" s="33" t="e">
        <f t="shared" si="76"/>
        <v>#DIV/0!</v>
      </c>
      <c r="AD70" s="2">
        <f>COUNTIFS(顧客データ!$F$4:$F$1048576,"&gt;=2022/12/1",顧客データ!$F$4:$F$1048576,"&lt;=2022/12/31",顧客データ!$P$4:$P$1048576,"=不明",顧客データ!$J$4:$J$1048576,"&gt;=2022/12/1")</f>
        <v>0</v>
      </c>
      <c r="AE70" s="2">
        <f>COUNTIFS(顧客データ!$F$4:$F$1048576,"&gt;=2022/12/1",顧客データ!$F$4:$F$1048576,"&lt;=2022/12/31",顧客データ!$P$4:$P$1048576,"=不明",顧客データ!$D$4:$D$1048576,"=*成約*")</f>
        <v>0</v>
      </c>
      <c r="AF70" s="34" t="e">
        <f t="shared" si="77"/>
        <v>#DIV/0!</v>
      </c>
      <c r="AG70" s="2">
        <f>COUNTIFS(顧客データ!$F$4:$F$1048576,"&gt;=2023/1/1",顧客データ!$F$4:$F$1048576,"&lt;=2023/1/31",顧客データ!$P$4:$P$1048576,"=不明",顧客データ!$J$4:$J$1048576,"&gt;=2023/1/1")</f>
        <v>0</v>
      </c>
      <c r="AH70" s="2">
        <f>COUNTIFS(顧客データ!$F$4:$F$1048576,"&gt;=2023/1/1",顧客データ!$F$4:$F$1048576,"&lt;=2023/1/31",顧客データ!$P$4:$P$1048576,"=不明",顧客データ!$D$4:$D$1048576,"=*成約*")</f>
        <v>0</v>
      </c>
      <c r="AI70" s="34" t="e">
        <f t="shared" si="78"/>
        <v>#DIV/0!</v>
      </c>
      <c r="AJ70" s="2">
        <f>COUNTIFS(顧客データ!$F$4:$F$1048576,"&gt;=2023/2/1",顧客データ!$F$4:$F$1048576,"&lt;=2023/2/28",顧客データ!$P$4:$P$1048576,"=不明",顧客データ!$J$4:$J$1048576,"&gt;=2023/2/1")</f>
        <v>0</v>
      </c>
      <c r="AK70" s="2">
        <f>COUNTIFS(顧客データ!$F$4:$F$1048576,"&gt;=2023/2/1",顧客データ!$F$4:$F$1048576,"&lt;=2023/2/28",顧客データ!$P$4:$P$1048576,"=不明",顧客データ!$D$4:$D$1048576,"=*成約*")</f>
        <v>0</v>
      </c>
      <c r="AL70" s="34" t="e">
        <f t="shared" si="79"/>
        <v>#DIV/0!</v>
      </c>
      <c r="AM70" s="6">
        <f t="shared" si="80"/>
        <v>0</v>
      </c>
      <c r="AN70" s="6">
        <f t="shared" si="81"/>
        <v>0</v>
      </c>
      <c r="AO70" s="34" t="e">
        <f t="shared" si="82"/>
        <v>#DIV/0!</v>
      </c>
    </row>
    <row r="73" spans="2:41" x14ac:dyDescent="0.5">
      <c r="B73" s="4" t="s">
        <v>164</v>
      </c>
    </row>
    <row r="74" spans="2:41" x14ac:dyDescent="0.5">
      <c r="B74" s="4"/>
      <c r="C74" s="77" t="s">
        <v>9</v>
      </c>
      <c r="D74" s="77"/>
      <c r="E74" s="77"/>
      <c r="F74" s="77" t="s">
        <v>10</v>
      </c>
      <c r="G74" s="77"/>
      <c r="H74" s="77"/>
      <c r="I74" s="77" t="s">
        <v>11</v>
      </c>
      <c r="J74" s="77"/>
      <c r="K74" s="77"/>
      <c r="L74" s="77" t="s">
        <v>13</v>
      </c>
      <c r="M74" s="77"/>
      <c r="N74" s="77"/>
      <c r="O74" s="77" t="s">
        <v>14</v>
      </c>
      <c r="P74" s="77"/>
      <c r="Q74" s="77"/>
      <c r="R74" s="77" t="s">
        <v>15</v>
      </c>
      <c r="S74" s="77"/>
      <c r="T74" s="77"/>
      <c r="U74" s="77" t="s">
        <v>16</v>
      </c>
      <c r="V74" s="77"/>
      <c r="W74" s="77"/>
      <c r="X74" s="77" t="s">
        <v>17</v>
      </c>
      <c r="Y74" s="77"/>
      <c r="Z74" s="77"/>
      <c r="AA74" s="77" t="s">
        <v>18</v>
      </c>
      <c r="AB74" s="77"/>
      <c r="AC74" s="77"/>
      <c r="AD74" s="77" t="s">
        <v>19</v>
      </c>
      <c r="AE74" s="77"/>
      <c r="AF74" s="77"/>
      <c r="AG74" s="77" t="s">
        <v>20</v>
      </c>
      <c r="AH74" s="77"/>
      <c r="AI74" s="77"/>
      <c r="AJ74" s="77" t="s">
        <v>21</v>
      </c>
      <c r="AK74" s="77"/>
      <c r="AL74" s="77"/>
      <c r="AM74" s="77" t="s">
        <v>22</v>
      </c>
      <c r="AN74" s="77"/>
      <c r="AO74" s="77"/>
    </row>
    <row r="75" spans="2:41" x14ac:dyDescent="0.5">
      <c r="C75" s="1" t="s">
        <v>7</v>
      </c>
      <c r="D75" s="1" t="s">
        <v>8</v>
      </c>
      <c r="E75" s="1" t="s">
        <v>23</v>
      </c>
      <c r="F75" s="1" t="s">
        <v>7</v>
      </c>
      <c r="G75" s="1" t="s">
        <v>8</v>
      </c>
      <c r="H75" s="1" t="s">
        <v>23</v>
      </c>
      <c r="I75" s="1" t="s">
        <v>7</v>
      </c>
      <c r="J75" s="1" t="s">
        <v>8</v>
      </c>
      <c r="K75" s="1" t="s">
        <v>23</v>
      </c>
      <c r="L75" s="1" t="s">
        <v>7</v>
      </c>
      <c r="M75" s="1" t="s">
        <v>8</v>
      </c>
      <c r="N75" s="1" t="s">
        <v>23</v>
      </c>
      <c r="O75" s="1" t="s">
        <v>7</v>
      </c>
      <c r="P75" s="1" t="s">
        <v>8</v>
      </c>
      <c r="Q75" s="1" t="s">
        <v>23</v>
      </c>
      <c r="R75" s="1" t="s">
        <v>7</v>
      </c>
      <c r="S75" s="1" t="s">
        <v>8</v>
      </c>
      <c r="T75" s="1" t="s">
        <v>23</v>
      </c>
      <c r="U75" s="1" t="s">
        <v>7</v>
      </c>
      <c r="V75" s="1" t="s">
        <v>8</v>
      </c>
      <c r="W75" s="1" t="s">
        <v>23</v>
      </c>
      <c r="X75" s="1" t="s">
        <v>7</v>
      </c>
      <c r="Y75" s="1" t="s">
        <v>8</v>
      </c>
      <c r="Z75" s="1" t="s">
        <v>23</v>
      </c>
      <c r="AA75" s="1" t="s">
        <v>7</v>
      </c>
      <c r="AB75" s="1" t="s">
        <v>8</v>
      </c>
      <c r="AC75" s="1" t="s">
        <v>23</v>
      </c>
      <c r="AD75" s="1" t="s">
        <v>7</v>
      </c>
      <c r="AE75" s="1" t="s">
        <v>8</v>
      </c>
      <c r="AF75" s="1" t="s">
        <v>23</v>
      </c>
      <c r="AG75" s="1" t="s">
        <v>7</v>
      </c>
      <c r="AH75" s="1" t="s">
        <v>8</v>
      </c>
      <c r="AI75" s="1" t="s">
        <v>23</v>
      </c>
      <c r="AJ75" s="1" t="s">
        <v>7</v>
      </c>
      <c r="AK75" s="1" t="s">
        <v>8</v>
      </c>
      <c r="AL75" s="1" t="s">
        <v>23</v>
      </c>
      <c r="AM75" s="1" t="s">
        <v>7</v>
      </c>
      <c r="AN75" s="1" t="s">
        <v>8</v>
      </c>
      <c r="AO75" s="1" t="s">
        <v>23</v>
      </c>
    </row>
    <row r="76" spans="2:41" x14ac:dyDescent="0.5">
      <c r="B76" t="s">
        <v>154</v>
      </c>
      <c r="C76" s="2">
        <f>COUNTIFS(顧客データ!$F$4:$F$1048576,"&gt;=2022/3/1",顧客データ!$F$4:$F$1048576,"&lt;=2022/3/31",顧客データ!$T$4:$T$1048576,"=1件目",顧客データ!$J$4:$J$1048576,"&gt;=2022/3/1")</f>
        <v>14</v>
      </c>
      <c r="D76" s="2">
        <f>COUNTIFS(顧客データ!$F$4:$F$1048576,"&gt;=2022/3/1",顧客データ!$F$4:$F$1048576,"&lt;=2022/3/31",顧客データ!$T$4:$T$1048576,"=1件目",顧客データ!$D$4:$D$1048576,"=*成約*")</f>
        <v>7</v>
      </c>
      <c r="E76" s="13">
        <f>D76/C76</f>
        <v>0.5</v>
      </c>
      <c r="F76" s="2">
        <f>COUNTIFS(顧客データ!$F$4:$F$1048576,"&gt;=2022/4/1",顧客データ!$F$4:$F$1048576,"&lt;=2022/4/30",顧客データ!$T$4:$T$1048576,"=1件目",顧客データ!$J$4:$J$1048576,"&gt;=2022/4/1")</f>
        <v>9</v>
      </c>
      <c r="G76" s="2">
        <f>COUNTIFS(顧客データ!$F$4:$F$1048576,"&gt;=2022/4/1",顧客データ!$F$4:$F$1048576,"&lt;=2022/4/30",顧客データ!$T$4:$T$1048576,"=1件目",顧客データ!$D$4:$D$1048576,"=*成約*")</f>
        <v>5</v>
      </c>
      <c r="H76" s="13">
        <f>G76/F76</f>
        <v>0.55555555555555558</v>
      </c>
      <c r="I76" s="2">
        <f>COUNTIFS(顧客データ!$F$4:$F$1048576,"&gt;=2022/5/1",顧客データ!$F$4:$F$1048576,"&lt;=2022/5/31",顧客データ!$T$4:$T$1048576,"=1件目",顧客データ!$J$4:$J$1048576,"&gt;=2022/5/1")</f>
        <v>7</v>
      </c>
      <c r="J76" s="2">
        <f>COUNTIFS(顧客データ!$F$4:$F$1048576,"&gt;=2022/5/1",顧客データ!$F$4:$F$1048576,"&lt;=2022/5/31",顧客データ!$T$4:$T$1048576,"=1件目",顧客データ!$D$4:$D$1048576,"=*成約*")</f>
        <v>4</v>
      </c>
      <c r="K76" s="13">
        <f>J76/I76</f>
        <v>0.5714285714285714</v>
      </c>
      <c r="L76" s="2">
        <f>COUNTIFS(顧客データ!$F$4:$F$1048576,"&gt;=2022/6/1",顧客データ!$F$4:$F$1048576,"&lt;=2022/6/30",顧客データ!$T$4:$T$1048576,"=1件目",顧客データ!$J$4:$J$1048576,"&gt;=2022/6/1")</f>
        <v>5</v>
      </c>
      <c r="M76" s="2">
        <f>COUNTIFS(顧客データ!$F$4:$F$1048576,"&gt;=2022/6/1",顧客データ!$F$4:$F$1048576,"&lt;=2022/6/30",顧客データ!$T$4:$T$1048576,"=1件目",顧客データ!$D$4:$D$1048576,"=*成約*")</f>
        <v>3</v>
      </c>
      <c r="N76" s="13">
        <f>M76/L76</f>
        <v>0.6</v>
      </c>
      <c r="O76" s="2">
        <f>COUNTIFS(顧客データ!$F$4:$F$1048576,"&gt;=2022/7/1",顧客データ!$F$4:$F$1048576,"&lt;=2022/7/31",顧客データ!$T$4:$T$1048576,"=1件目",顧客データ!$J$4:$J$1048576,"&gt;=2022/7/1")</f>
        <v>5</v>
      </c>
      <c r="P76" s="2">
        <f>COUNTIFS(顧客データ!$F$4:$F$1048576,"&gt;=2022/7/1",顧客データ!$F$4:$F$1048576,"&lt;=2022/7/31",顧客データ!$T$4:$T$1048576,"=1件目",顧客データ!$D$4:$D$1048576,"=*成約*")</f>
        <v>1</v>
      </c>
      <c r="Q76" s="13">
        <f>P76/O76</f>
        <v>0.2</v>
      </c>
      <c r="R76" s="2">
        <f>COUNTIFS(顧客データ!$F$4:$F$1048576,"&gt;=2022/8/1",顧客データ!$F$4:$F$1048576,"&lt;=2022/8/31",顧客データ!$T$4:$T$1048576,"=1件目",顧客データ!$J$4:$J$1048576,"&gt;=2022/8/1")</f>
        <v>3</v>
      </c>
      <c r="S76" s="2">
        <f>COUNTIFS(顧客データ!$F$4:$F$1048576,"&gt;=2022/8/1",顧客データ!$F$4:$F$1048576,"&lt;=2022/8/31",顧客データ!$T$4:$T$1048576,"=1件目",顧客データ!$D$4:$D$1048576,"=*成約*")</f>
        <v>0</v>
      </c>
      <c r="T76" s="13">
        <f>S76/R76</f>
        <v>0</v>
      </c>
      <c r="U76" s="2">
        <f>COUNTIFS(顧客データ!$F$4:$F$1048576,"&gt;=2022/9/1",顧客データ!$F$4:$F$1048576,"&lt;=2022/9/30",顧客データ!$T$4:$T$1048576,"=1件目",顧客データ!$J$4:$J$1048576,"&gt;=2022/9/1")</f>
        <v>8</v>
      </c>
      <c r="V76" s="2">
        <f>COUNTIFS(顧客データ!$F$4:$F$1048576,"&gt;=2022/9/1",顧客データ!$F$4:$F$1048576,"&lt;=2022/9/30",顧客データ!$T$4:$T$1048576,"=1件目",顧客データ!$D$4:$D$1048576,"=*成約*")</f>
        <v>2</v>
      </c>
      <c r="W76" s="13">
        <f>V76/U76</f>
        <v>0.25</v>
      </c>
      <c r="X76" s="2">
        <f>COUNTIFS(顧客データ!$F$4:$F$1048576,"&gt;=2022/10/1",顧客データ!$F$4:$F$1048576,"&lt;=2022/10/31",顧客データ!$T$4:$T$1048576,"=1件目",顧客データ!$J$4:$J$1048576,"&gt;=2022/10/1")</f>
        <v>4</v>
      </c>
      <c r="Y76" s="2">
        <f>COUNTIFS(顧客データ!$F$4:$F$1048576,"&gt;=2022/10/1",顧客データ!$F$4:$F$1048576,"&lt;=2022/10/31",顧客データ!$T$4:$T$1048576,"=1件目",顧客データ!$D$4:$D$1048576,"=*成約*")</f>
        <v>2</v>
      </c>
      <c r="Z76" s="13">
        <f>Y76/X76</f>
        <v>0.5</v>
      </c>
      <c r="AA76" s="2">
        <f>COUNTIFS(顧客データ!$F$4:$F$1048576,"&gt;=2022/11/1",顧客データ!$F$4:$F$1048576,"&lt;=2022/11/30",顧客データ!$T$4:$T$1048576,"=1件目",顧客データ!$J$4:$J$1048576,"&gt;=2022/11/1")</f>
        <v>10</v>
      </c>
      <c r="AB76" s="2">
        <f>COUNTIFS(顧客データ!$F$4:$F$1048576,"&gt;=2022/11/1",顧客データ!$F$4:$F$1048576,"&lt;=2022/11/30",顧客データ!$T$4:$T$1048576,"=1件目",顧客データ!$D$4:$D$1048576,"=*成約*")</f>
        <v>5</v>
      </c>
      <c r="AC76" s="33">
        <f>AB76/AA76</f>
        <v>0.5</v>
      </c>
      <c r="AD76" s="2">
        <f>COUNTIFS(顧客データ!$F$4:$F$1048576,"&gt;=2022/12/1",顧客データ!$F$4:$F$1048576,"&lt;=2022/12/31",顧客データ!$T$4:$T$1048576,"=1件目",顧客データ!$J$4:$J$1048576,"&gt;=2022/12/1")</f>
        <v>2</v>
      </c>
      <c r="AE76" s="2">
        <f>COUNTIFS(顧客データ!$F$4:$F$1048576,"&gt;=2022/12/1",顧客データ!$F$4:$F$1048576,"&lt;=2022/12/31",顧客データ!$T$4:$T$1048576,"=1件目",顧客データ!$D$4:$D$1048576,"=*成約*")</f>
        <v>1</v>
      </c>
      <c r="AF76" s="34">
        <f>AE76/AD76</f>
        <v>0.5</v>
      </c>
      <c r="AG76" s="2">
        <f>COUNTIFS(顧客データ!$F$4:$F$1048576,"&gt;=2023/1/1",顧客データ!$F$4:$F$1048576,"&lt;=2023/1/31",顧客データ!$T$4:$T$1048576,"=1件目",顧客データ!$J$4:$J$1048576,"&gt;=2023/1/1")</f>
        <v>9</v>
      </c>
      <c r="AH76" s="2">
        <f>COUNTIFS(顧客データ!$F$4:$F$1048576,"&gt;=2023/1/1",顧客データ!$F$4:$F$1048576,"&lt;=2023/1/31",顧客データ!$T$4:$T$1048576,"=1件目",顧客データ!$D$4:$D$1048576,"=*成約*")</f>
        <v>1</v>
      </c>
      <c r="AI76" s="34">
        <f>AH76/AG76</f>
        <v>0.1111111111111111</v>
      </c>
      <c r="AJ76" s="2">
        <f>COUNTIFS(顧客データ!$F$4:$F$1048576,"&gt;=2023/2/1",顧客データ!$F$4:$F$1048576,"&lt;=2023/2/28",顧客データ!$T$4:$T$1048576,"=1件目",顧客データ!$J$4:$J$1048576,"&gt;=2023/2/1")</f>
        <v>0</v>
      </c>
      <c r="AK76" s="2">
        <f>COUNTIFS(顧客データ!$F$4:$F$1048576,"&gt;=2023/2/1",顧客データ!$F$4:$F$1048576,"&lt;=2023/2/28",顧客データ!$T$4:$T$1048576,"=1件目",顧客データ!$D$4:$D$1048576,"=*成約*")</f>
        <v>0</v>
      </c>
      <c r="AL76" s="34" t="e">
        <f>AK76/AJ76</f>
        <v>#DIV/0!</v>
      </c>
      <c r="AM76" s="6">
        <f>C76+F76+I76+L76+O76+R76+U76+X76+AA76+AD76+AG76+AJ76</f>
        <v>76</v>
      </c>
      <c r="AN76" s="6">
        <f>D76+G76+J76+M76+P76+S76+V76+Y76+AB76+AE76+AH76+AK76</f>
        <v>31</v>
      </c>
      <c r="AO76" s="34">
        <f>AN76/AM76</f>
        <v>0.40789473684210525</v>
      </c>
    </row>
    <row r="77" spans="2:41" x14ac:dyDescent="0.5">
      <c r="B77" t="s">
        <v>155</v>
      </c>
      <c r="C77" s="2">
        <f>COUNTIFS(顧客データ!$F$4:$F$1048576,"&gt;=2022/3/1",顧客データ!$F$4:$F$1048576,"&lt;=2022/3/31",顧客データ!$T$4:$T$1048576,"=2件目",顧客データ!$J$4:$J$1048576,"&gt;=2022/3/1")</f>
        <v>3</v>
      </c>
      <c r="D77" s="2">
        <f>COUNTIFS(顧客データ!$F$4:$F$1048576,"&gt;=2022/3/1",顧客データ!$F$4:$F$1048576,"&lt;=2022/3/31",顧客データ!$T$4:$T$1048576,"=2件目",顧客データ!$D$4:$D$1048576,"=*成約*")</f>
        <v>1</v>
      </c>
      <c r="E77" s="13">
        <f t="shared" ref="E77:E79" si="83">D77/C77</f>
        <v>0.33333333333333331</v>
      </c>
      <c r="F77" s="2">
        <f>COUNTIFS(顧客データ!$F$4:$F$1048576,"&gt;=2022/4/1",顧客データ!$F$4:$F$1048576,"&lt;=2022/4/30",顧客データ!$T$4:$T$1048576,"=2件目",顧客データ!$J$4:$J$1048576,"&gt;=2022/4/1")</f>
        <v>1</v>
      </c>
      <c r="G77" s="2">
        <f>COUNTIFS(顧客データ!$F$4:$F$1048576,"&gt;=2022/4/1",顧客データ!$F$4:$F$1048576,"&lt;=2022/4/30",顧客データ!$T$4:$T$1048576,"=2件目",顧客データ!$D$4:$D$1048576,"=*成約*")</f>
        <v>0</v>
      </c>
      <c r="H77" s="13">
        <f t="shared" ref="H77:H79" si="84">G77/F77</f>
        <v>0</v>
      </c>
      <c r="I77" s="2">
        <f>COUNTIFS(顧客データ!$F$4:$F$1048576,"&gt;=2022/5/1",顧客データ!$F$4:$F$1048576,"&lt;=2022/5/31",顧客データ!$T$4:$T$1048576,"=2件目",顧客データ!$J$4:$J$1048576,"&gt;=2022/5/1")</f>
        <v>4</v>
      </c>
      <c r="J77" s="2">
        <f>COUNTIFS(顧客データ!$F$4:$F$1048576,"&gt;=2022/5/1",顧客データ!$F$4:$F$1048576,"&lt;=2022/5/31",顧客データ!$T$4:$T$1048576,"=2件目",顧客データ!$D$4:$D$1048576,"=*成約*")</f>
        <v>1</v>
      </c>
      <c r="K77" s="13">
        <f t="shared" ref="K77:K79" si="85">J77/I77</f>
        <v>0.25</v>
      </c>
      <c r="L77" s="2">
        <f>COUNTIFS(顧客データ!$F$4:$F$1048576,"&gt;=2022/6/1",顧客データ!$F$4:$F$1048576,"&lt;=2022/6/30",顧客データ!$T$4:$T$1048576,"=2件目",顧客データ!$J$4:$J$1048576,"&gt;=2022/6/1")</f>
        <v>0</v>
      </c>
      <c r="M77" s="2">
        <f>COUNTIFS(顧客データ!$F$4:$F$1048576,"&gt;=2022/6/1",顧客データ!$F$4:$F$1048576,"&lt;=2022/6/30",顧客データ!$T$4:$T$1048576,"=2件目",顧客データ!$D$4:$D$1048576,"=*成約*")</f>
        <v>0</v>
      </c>
      <c r="N77" s="13" t="e">
        <f t="shared" ref="N77:N79" si="86">M77/L77</f>
        <v>#DIV/0!</v>
      </c>
      <c r="O77" s="2">
        <f>COUNTIFS(顧客データ!$F$4:$F$1048576,"&gt;=2022/7/1",顧客データ!$F$4:$F$1048576,"&lt;=2022/7/31",顧客データ!$T$4:$T$1048576,"=2件目",顧客データ!$J$4:$J$1048576,"&gt;=2022/7/1")</f>
        <v>3</v>
      </c>
      <c r="P77" s="2">
        <f>COUNTIFS(顧客データ!$F$4:$F$1048576,"&gt;=2022/7/1",顧客データ!$F$4:$F$1048576,"&lt;=2022/7/31",顧客データ!$T$4:$T$1048576,"=2件目",顧客データ!$D$4:$D$1048576,"=*成約*")</f>
        <v>1</v>
      </c>
      <c r="Q77" s="13">
        <f t="shared" ref="Q77:Q79" si="87">P77/O77</f>
        <v>0.33333333333333331</v>
      </c>
      <c r="R77" s="2">
        <f>COUNTIFS(顧客データ!$F$4:$F$1048576,"&gt;=2022/8/1",顧客データ!$F$4:$F$1048576,"&lt;=2022/8/31",顧客データ!$T$4:$T$1048576,"=2件目",顧客データ!$J$4:$J$1048576,"&gt;=2022/8/1")</f>
        <v>2</v>
      </c>
      <c r="S77" s="2">
        <f>COUNTIFS(顧客データ!$F$4:$F$1048576,"&gt;=2022/8/1",顧客データ!$F$4:$F$1048576,"&lt;=2022/8/31",顧客データ!$T$4:$T$1048576,"=2件目",顧客データ!$D$4:$D$1048576,"=*成約*")</f>
        <v>2</v>
      </c>
      <c r="T77" s="13">
        <f t="shared" ref="T77:T79" si="88">S77/R77</f>
        <v>1</v>
      </c>
      <c r="U77" s="2">
        <f>COUNTIFS(顧客データ!$F$4:$F$1048576,"&gt;=2022/9/1",顧客データ!$F$4:$F$1048576,"&lt;=2022/9/30",顧客データ!$T$4:$T$1048576,"=2件目",顧客データ!$J$4:$J$1048576,"&gt;=2022/9/1")</f>
        <v>2</v>
      </c>
      <c r="V77" s="2">
        <f>COUNTIFS(顧客データ!$F$4:$F$1048576,"&gt;=2022/9/1",顧客データ!$F$4:$F$1048576,"&lt;=2022/9/30",顧客データ!$T$4:$T$1048576,"=2件目",顧客データ!$D$4:$D$1048576,"=*成約*")</f>
        <v>2</v>
      </c>
      <c r="W77" s="13">
        <f t="shared" ref="W77:W79" si="89">V77/U77</f>
        <v>1</v>
      </c>
      <c r="X77" s="2">
        <f>COUNTIFS(顧客データ!$F$4:$F$1048576,"&gt;=2022/10/1",顧客データ!$F$4:$F$1048576,"&lt;=2022/10/31",顧客データ!$T$4:$T$1048576,"=2件目",顧客データ!$J$4:$J$1048576,"&gt;=2022/10/1")</f>
        <v>3</v>
      </c>
      <c r="Y77" s="2">
        <f>COUNTIFS(顧客データ!$F$4:$F$1048576,"&gt;=2022/10/1",顧客データ!$F$4:$F$1048576,"&lt;=2022/10/31",顧客データ!$T$4:$T$1048576,"=2件目",顧客データ!$D$4:$D$1048576,"=*成約*")</f>
        <v>0</v>
      </c>
      <c r="Z77" s="13">
        <f t="shared" ref="Z77:Z79" si="90">Y77/X77</f>
        <v>0</v>
      </c>
      <c r="AA77" s="2">
        <f>COUNTIFS(顧客データ!$F$4:$F$1048576,"&gt;=2022/11/1",顧客データ!$F$4:$F$1048576,"&lt;=2022/11/30",顧客データ!$T$4:$T$1048576,"=2件目",顧客データ!$J$4:$J$1048576,"&gt;=2022/11/1")</f>
        <v>1</v>
      </c>
      <c r="AB77" s="2">
        <f>COUNTIFS(顧客データ!$F$4:$F$1048576,"&gt;=2022/11/1",顧客データ!$F$4:$F$1048576,"&lt;=2022/11/30",顧客データ!$T$4:$T$1048576,"=2件目",顧客データ!$D$4:$D$1048576,"=*成約*")</f>
        <v>0</v>
      </c>
      <c r="AC77" s="33">
        <f t="shared" ref="AC77:AC79" si="91">AB77/AA77</f>
        <v>0</v>
      </c>
      <c r="AD77" s="2">
        <f>COUNTIFS(顧客データ!$F$4:$F$1048576,"&gt;=2022/12/1",顧客データ!$F$4:$F$1048576,"&lt;=2022/12/31",顧客データ!$T$4:$T$1048576,"=2件目",顧客データ!$J$4:$J$1048576,"&gt;=2022/12/1")</f>
        <v>3</v>
      </c>
      <c r="AE77" s="2">
        <f>COUNTIFS(顧客データ!$F$4:$F$1048576,"&gt;=2022/12/1",顧客データ!$F$4:$F$1048576,"&lt;=2022/12/31",顧客データ!$T$4:$T$1048576,"=2件目",顧客データ!$D$4:$D$1048576,"=*成約*")</f>
        <v>0</v>
      </c>
      <c r="AF77" s="34">
        <f t="shared" ref="AF77:AF79" si="92">AE77/AD77</f>
        <v>0</v>
      </c>
      <c r="AG77" s="2">
        <f>COUNTIFS(顧客データ!$F$4:$F$1048576,"&gt;=2023/1/1",顧客データ!$F$4:$F$1048576,"&lt;=2023/1/31",顧客データ!$T$4:$T$1048576,"=2件目",顧客データ!$J$4:$J$1048576,"&gt;=2023/1/1")</f>
        <v>1</v>
      </c>
      <c r="AH77" s="2">
        <f>COUNTIFS(顧客データ!$F$4:$F$1048576,"&gt;=2023/1/1",顧客データ!$F$4:$F$1048576,"&lt;=2023/1/31",顧客データ!$T$4:$T$1048576,"=2件目",顧客データ!$D$4:$D$1048576,"=*成約*")</f>
        <v>1</v>
      </c>
      <c r="AI77" s="34">
        <f t="shared" ref="AI77:AI79" si="93">AH77/AG77</f>
        <v>1</v>
      </c>
      <c r="AJ77" s="2">
        <f>COUNTIFS(顧客データ!$F$4:$F$1048576,"&gt;=2023/2/1",顧客データ!$F$4:$F$1048576,"&lt;=2023/2/28",顧客データ!$T$4:$T$1048576,"=2件目",顧客データ!$J$4:$J$1048576,"&gt;=2023/2/1")</f>
        <v>0</v>
      </c>
      <c r="AK77" s="2">
        <f>COUNTIFS(顧客データ!$F$4:$F$1048576,"&gt;=2023/2/1",顧客データ!$F$4:$F$1048576,"&lt;=2023/2/28",顧客データ!$T$4:$T$1048576,"=2件目",顧客データ!$D$4:$D$1048576,"=*成約*")</f>
        <v>0</v>
      </c>
      <c r="AL77" s="34" t="e">
        <f t="shared" ref="AL77:AL79" si="94">AK77/AJ77</f>
        <v>#DIV/0!</v>
      </c>
      <c r="AM77" s="6">
        <f t="shared" ref="AM77:AM79" si="95">C77+F77+I77+L77+O77+R77+U77+X77+AA77+AD77+AG77+AJ77</f>
        <v>23</v>
      </c>
      <c r="AN77" s="6">
        <f t="shared" ref="AN77:AN79" si="96">D77+G77+J77+M77+P77+S77+V77+Y77+AB77+AE77+AH77+AK77</f>
        <v>8</v>
      </c>
      <c r="AO77" s="34">
        <f t="shared" ref="AO77:AO79" si="97">AN77/AM77</f>
        <v>0.34782608695652173</v>
      </c>
    </row>
    <row r="78" spans="2:41" x14ac:dyDescent="0.5">
      <c r="B78" t="s">
        <v>156</v>
      </c>
      <c r="C78" s="2">
        <f>COUNTIFS(顧客データ!$F$4:$F$1048576,"&gt;=2022/3/1",顧客データ!$F$4:$F$1048576,"&lt;=2022/3/31",顧客データ!$T$4:$T$1048576,"=3件目",顧客データ!$J$4:$J$1048576,"&gt;=2022/3/1")</f>
        <v>0</v>
      </c>
      <c r="D78" s="2">
        <f>COUNTIFS(顧客データ!$F$4:$F$1048576,"&gt;=2022/3/1",顧客データ!$F$4:$F$1048576,"&lt;=2022/3/31",顧客データ!$T$4:$T$1048576,"=3件目",顧客データ!$D$4:$D$1048576,"=*成約*")</f>
        <v>0</v>
      </c>
      <c r="E78" s="13" t="e">
        <f t="shared" si="83"/>
        <v>#DIV/0!</v>
      </c>
      <c r="F78" s="2">
        <f>COUNTIFS(顧客データ!$F$4:$F$1048576,"&gt;=2022/4/1",顧客データ!$F$4:$F$1048576,"&lt;=2022/4/30",顧客データ!$T$4:$T$1048576,"=3件目",顧客データ!$J$4:$J$1048576,"&gt;=2022/4/1")</f>
        <v>1</v>
      </c>
      <c r="G78" s="2">
        <f>COUNTIFS(顧客データ!$F$4:$F$1048576,"&gt;=2022/4/1",顧客データ!$F$4:$F$1048576,"&lt;=2022/4/30",顧客データ!$T$4:$T$1048576,"=3件目",顧客データ!$D$4:$D$1048576,"=*成約*")</f>
        <v>0</v>
      </c>
      <c r="H78" s="13">
        <f t="shared" si="84"/>
        <v>0</v>
      </c>
      <c r="I78" s="2">
        <f>COUNTIFS(顧客データ!$F$4:$F$1048576,"&gt;=2022/5/1",顧客データ!$F$4:$F$1048576,"&lt;=2022/5/31",顧客データ!$T$4:$T$1048576,"=3件目",顧客データ!$J$4:$J$1048576,"&gt;=2022/5/1")</f>
        <v>4</v>
      </c>
      <c r="J78" s="2">
        <f>COUNTIFS(顧客データ!$F$4:$F$1048576,"&gt;=2022/5/1",顧客データ!$F$4:$F$1048576,"&lt;=2022/5/31",顧客データ!$T$4:$T$1048576,"=3件目",顧客データ!$D$4:$D$1048576,"=*成約*")</f>
        <v>3</v>
      </c>
      <c r="K78" s="13">
        <f t="shared" si="85"/>
        <v>0.75</v>
      </c>
      <c r="L78" s="2">
        <f>COUNTIFS(顧客データ!$F$4:$F$1048576,"&gt;=2022/6/1",顧客データ!$F$4:$F$1048576,"&lt;=2022/6/30",顧客データ!$T$4:$T$1048576,"=3件目",顧客データ!$J$4:$J$1048576,"&gt;=2022/6/1")</f>
        <v>2</v>
      </c>
      <c r="M78" s="2">
        <f>COUNTIFS(顧客データ!$F$4:$F$1048576,"&gt;=2022/6/1",顧客データ!$F$4:$F$1048576,"&lt;=2022/6/30",顧客データ!$T$4:$T$1048576,"=3件目",顧客データ!$D$4:$D$1048576,"=*成約*")</f>
        <v>1</v>
      </c>
      <c r="N78" s="13">
        <f t="shared" si="86"/>
        <v>0.5</v>
      </c>
      <c r="O78" s="2">
        <f>COUNTIFS(顧客データ!$F$4:$F$1048576,"&gt;=2022/7/1",顧客データ!$F$4:$F$1048576,"&lt;=2022/7/31",顧客データ!$T$4:$T$1048576,"=3件目",顧客データ!$J$4:$J$1048576,"&gt;=2022/7/1")</f>
        <v>0</v>
      </c>
      <c r="P78" s="2">
        <f>COUNTIFS(顧客データ!$F$4:$F$1048576,"&gt;=2022/7/1",顧客データ!$F$4:$F$1048576,"&lt;=2022/7/31",顧客データ!$T$4:$T$1048576,"=3件目",顧客データ!$D$4:$D$1048576,"=*成約*")</f>
        <v>0</v>
      </c>
      <c r="Q78" s="13" t="e">
        <f t="shared" si="87"/>
        <v>#DIV/0!</v>
      </c>
      <c r="R78" s="2">
        <f>COUNTIFS(顧客データ!$F$4:$F$1048576,"&gt;=2022/8/1",顧客データ!$F$4:$F$1048576,"&lt;=2022/8/31",顧客データ!$T$4:$T$1048576,"=3件目",顧客データ!$J$4:$J$1048576,"&gt;=2022/8/1")</f>
        <v>1</v>
      </c>
      <c r="S78" s="2">
        <f>COUNTIFS(顧客データ!$F$4:$F$1048576,"&gt;=2022/8/1",顧客データ!$F$4:$F$1048576,"&lt;=2022/8/31",顧客データ!$T$4:$T$1048576,"=3件目",顧客データ!$D$4:$D$1048576,"=*成約*")</f>
        <v>0</v>
      </c>
      <c r="T78" s="13">
        <f t="shared" si="88"/>
        <v>0</v>
      </c>
      <c r="U78" s="2">
        <f>COUNTIFS(顧客データ!$F$4:$F$1048576,"&gt;=2022/9/1",顧客データ!$F$4:$F$1048576,"&lt;=2022/9/30",顧客データ!$T$4:$T$1048576,"=3件目",顧客データ!$J$4:$J$1048576,"&gt;=2022/9/1")</f>
        <v>0</v>
      </c>
      <c r="V78" s="2">
        <f>COUNTIFS(顧客データ!$F$4:$F$1048576,"&gt;=2022/9/1",顧客データ!$F$4:$F$1048576,"&lt;=2022/9/30",顧客データ!$T$4:$T$1048576,"=3件目",顧客データ!$D$4:$D$1048576,"=*成約*")</f>
        <v>0</v>
      </c>
      <c r="W78" s="13" t="e">
        <f t="shared" si="89"/>
        <v>#DIV/0!</v>
      </c>
      <c r="X78" s="2">
        <f>COUNTIFS(顧客データ!$F$4:$F$1048576,"&gt;=2022/10/1",顧客データ!$F$4:$F$1048576,"&lt;=2022/10/31",顧客データ!$T$4:$T$1048576,"=3件目",顧客データ!$J$4:$J$1048576,"&gt;=2022/10/1")</f>
        <v>2</v>
      </c>
      <c r="Y78" s="2">
        <f>COUNTIFS(顧客データ!$F$4:$F$1048576,"&gt;=2022/10/1",顧客データ!$F$4:$F$1048576,"&lt;=2022/10/31",顧客データ!$T$4:$T$1048576,"=3件目",顧客データ!$D$4:$D$1048576,"=*成約*")</f>
        <v>0</v>
      </c>
      <c r="Z78" s="13">
        <f t="shared" si="90"/>
        <v>0</v>
      </c>
      <c r="AA78" s="2">
        <f>COUNTIFS(顧客データ!$F$4:$F$1048576,"&gt;=2022/11/1",顧客データ!$F$4:$F$1048576,"&lt;=2022/11/30",顧客データ!$T$4:$T$1048576,"=3件目",顧客データ!$J$4:$J$1048576,"&gt;=2022/11/1")</f>
        <v>1</v>
      </c>
      <c r="AB78" s="2">
        <f>COUNTIFS(顧客データ!$F$4:$F$1048576,"&gt;=2022/11/1",顧客データ!$F$4:$F$1048576,"&lt;=2022/11/30",顧客データ!$T$4:$T$1048576,"=3件目",顧客データ!$D$4:$D$1048576,"=*成約*")</f>
        <v>1</v>
      </c>
      <c r="AC78" s="33">
        <f t="shared" si="91"/>
        <v>1</v>
      </c>
      <c r="AD78" s="2">
        <f>COUNTIFS(顧客データ!$F$4:$F$1048576,"&gt;=2022/12/1",顧客データ!$F$4:$F$1048576,"&lt;=2022/12/31",顧客データ!$T$4:$T$1048576,"=3件目",顧客データ!$J$4:$J$1048576,"&gt;=2022/12/1")</f>
        <v>0</v>
      </c>
      <c r="AE78" s="2">
        <f>COUNTIFS(顧客データ!$F$4:$F$1048576,"&gt;=2022/12/1",顧客データ!$F$4:$F$1048576,"&lt;=2022/12/31",顧客データ!$T$4:$T$1048576,"=3件目",顧客データ!$D$4:$D$1048576,"=*成約*")</f>
        <v>0</v>
      </c>
      <c r="AF78" s="34" t="e">
        <f t="shared" si="92"/>
        <v>#DIV/0!</v>
      </c>
      <c r="AG78" s="2">
        <f>COUNTIFS(顧客データ!$F$4:$F$1048576,"&gt;=2023/1/1",顧客データ!$F$4:$F$1048576,"&lt;=2023/1/31",顧客データ!$T$4:$T$1048576,"=3件目",顧客データ!$J$4:$J$1048576,"&gt;=2023/1/1")</f>
        <v>2</v>
      </c>
      <c r="AH78" s="2">
        <f>COUNTIFS(顧客データ!$F$4:$F$1048576,"&gt;=2023/1/1",顧客データ!$F$4:$F$1048576,"&lt;=2023/1/31",顧客データ!$T$4:$T$1048576,"=3件目",顧客データ!$D$4:$D$1048576,"=*成約*")</f>
        <v>0</v>
      </c>
      <c r="AI78" s="34">
        <f t="shared" si="93"/>
        <v>0</v>
      </c>
      <c r="AJ78" s="2">
        <f>COUNTIFS(顧客データ!$F$4:$F$1048576,"&gt;=2023/2/1",顧客データ!$F$4:$F$1048576,"&lt;=2023/2/28",顧客データ!$T$4:$T$1048576,"=3件目",顧客データ!$J$4:$J$1048576,"&gt;=2023/2/1")</f>
        <v>0</v>
      </c>
      <c r="AK78" s="2">
        <f>COUNTIFS(顧客データ!$F$4:$F$1048576,"&gt;=2023/2/1",顧客データ!$F$4:$F$1048576,"&lt;=2023/2/28",顧客データ!$T$4:$T$1048576,"=3件目",顧客データ!$D$4:$D$1048576,"=*成約*")</f>
        <v>0</v>
      </c>
      <c r="AL78" s="34" t="e">
        <f t="shared" si="94"/>
        <v>#DIV/0!</v>
      </c>
      <c r="AM78" s="6">
        <f t="shared" si="95"/>
        <v>13</v>
      </c>
      <c r="AN78" s="6">
        <f t="shared" si="96"/>
        <v>5</v>
      </c>
      <c r="AO78" s="34">
        <f t="shared" si="97"/>
        <v>0.38461538461538464</v>
      </c>
    </row>
    <row r="79" spans="2:41" x14ac:dyDescent="0.5">
      <c r="B79" t="s">
        <v>165</v>
      </c>
      <c r="C79" s="2">
        <f>COUNTIFS(顧客データ!$F$4:$F$1048576,"&gt;=2022/3/1",顧客データ!$F$4:$F$1048576,"&lt;=2022/3/31",顧客データ!$T$4:$T$1048576,"=4件目以上",顧客データ!$J$4:$J$1048576,"&gt;=2022/3/1")</f>
        <v>0</v>
      </c>
      <c r="D79" s="2">
        <f>COUNTIFS(顧客データ!$F$4:$F$1048576,"&gt;=2022/3/1",顧客データ!$F$4:$F$1048576,"&lt;=2022/3/31",顧客データ!$T$4:$T$1048576,"=4件目以上",顧客データ!$D$4:$D$1048576,"=*成約*")</f>
        <v>0</v>
      </c>
      <c r="E79" s="13" t="e">
        <f t="shared" si="83"/>
        <v>#DIV/0!</v>
      </c>
      <c r="F79" s="2">
        <f>COUNTIFS(顧客データ!$F$4:$F$1048576,"&gt;=2022/4/1",顧客データ!$F$4:$F$1048576,"&lt;=2022/4/30",顧客データ!$T$4:$T$1048576,"=4件目以上",顧客データ!$J$4:$J$1048576,"&gt;=2022/4/1")</f>
        <v>2</v>
      </c>
      <c r="G79" s="2">
        <f>COUNTIFS(顧客データ!$F$4:$F$1048576,"&gt;=2022/4/1",顧客データ!$F$4:$F$1048576,"&lt;=2022/4/30",顧客データ!$T$4:$T$1048576,"=4件目以上",顧客データ!$D$4:$D$1048576,"=*成約*")</f>
        <v>2</v>
      </c>
      <c r="H79" s="13">
        <f t="shared" si="84"/>
        <v>1</v>
      </c>
      <c r="I79" s="2">
        <f>COUNTIFS(顧客データ!$F$4:$F$1048576,"&gt;=2022/5/1",顧客データ!$F$4:$F$1048576,"&lt;=2022/5/31",顧客データ!$T$4:$T$1048576,"=4件目以上",顧客データ!$J$4:$J$1048576,"&gt;=2022/5/1")</f>
        <v>0</v>
      </c>
      <c r="J79" s="2">
        <f>COUNTIFS(顧客データ!$F$4:$F$1048576,"&gt;=2022/5/1",顧客データ!$F$4:$F$1048576,"&lt;=2022/5/31",顧客データ!$T$4:$T$1048576,"=4件目以上",顧客データ!$D$4:$D$1048576,"=*成約*")</f>
        <v>0</v>
      </c>
      <c r="K79" s="13" t="e">
        <f t="shared" si="85"/>
        <v>#DIV/0!</v>
      </c>
      <c r="L79" s="2">
        <f>COUNTIFS(顧客データ!$F$4:$F$1048576,"&gt;=2022/6/1",顧客データ!$F$4:$F$1048576,"&lt;=2022/6/30",顧客データ!$T$4:$T$1048576,"=4件目以上",顧客データ!$J$4:$J$1048576,"&gt;=2022/6/1")</f>
        <v>0</v>
      </c>
      <c r="M79" s="2">
        <f>COUNTIFS(顧客データ!$F$4:$F$1048576,"&gt;=2022/6/1",顧客データ!$F$4:$F$1048576,"&lt;=2022/6/30",顧客データ!$T$4:$T$1048576,"=4件目以上",顧客データ!$D$4:$D$1048576,"=*成約*")</f>
        <v>0</v>
      </c>
      <c r="N79" s="13" t="e">
        <f t="shared" si="86"/>
        <v>#DIV/0!</v>
      </c>
      <c r="O79" s="2">
        <f>COUNTIFS(顧客データ!$F$4:$F$1048576,"&gt;=2022/7/1",顧客データ!$F$4:$F$1048576,"&lt;=2022/7/31",顧客データ!$T$4:$T$1048576,"=4件目以上",顧客データ!$J$4:$J$1048576,"&gt;=2022/7/1")</f>
        <v>1</v>
      </c>
      <c r="P79" s="2">
        <f>COUNTIFS(顧客データ!$F$4:$F$1048576,"&gt;=2022/7/1",顧客データ!$F$4:$F$1048576,"&lt;=2022/7/31",顧客データ!$T$4:$T$1048576,"=4件目以上",顧客データ!$D$4:$D$1048576,"=*成約*")</f>
        <v>1</v>
      </c>
      <c r="Q79" s="13">
        <f t="shared" si="87"/>
        <v>1</v>
      </c>
      <c r="R79" s="2">
        <f>COUNTIFS(顧客データ!$F$4:$F$1048576,"&gt;=2022/8/1",顧客データ!$F$4:$F$1048576,"&lt;=2022/8/31",顧客データ!$T$4:$T$1048576,"=4件目以上",顧客データ!$J$4:$J$1048576,"&gt;=2022/8/1")</f>
        <v>2</v>
      </c>
      <c r="S79" s="2">
        <f>COUNTIFS(顧客データ!$F$4:$F$1048576,"&gt;=2022/8/1",顧客データ!$F$4:$F$1048576,"&lt;=2022/8/31",顧客データ!$T$4:$T$1048576,"=4件目以上",顧客データ!$D$4:$D$1048576,"=*成約*")</f>
        <v>1</v>
      </c>
      <c r="T79" s="13">
        <f t="shared" si="88"/>
        <v>0.5</v>
      </c>
      <c r="U79" s="2">
        <f>COUNTIFS(顧客データ!$F$4:$F$1048576,"&gt;=2022/9/1",顧客データ!$F$4:$F$1048576,"&lt;=2022/9/30",顧客データ!$T$4:$T$1048576,"=4件目以上",顧客データ!$J$4:$J$1048576,"&gt;=2022/9/1")</f>
        <v>1</v>
      </c>
      <c r="V79" s="2">
        <f>COUNTIFS(顧客データ!$F$4:$F$1048576,"&gt;=2022/9/1",顧客データ!$F$4:$F$1048576,"&lt;=2022/9/30",顧客データ!$T$4:$T$1048576,"=4件目以上",顧客データ!$D$4:$D$1048576,"=*成約*")</f>
        <v>0</v>
      </c>
      <c r="W79" s="13">
        <f t="shared" si="89"/>
        <v>0</v>
      </c>
      <c r="X79" s="2">
        <f>COUNTIFS(顧客データ!$F$4:$F$1048576,"&gt;=2022/10/1",顧客データ!$F$4:$F$1048576,"&lt;=2022/10/31",顧客データ!$T$4:$T$1048576,"=4件目以上",顧客データ!$J$4:$J$1048576,"&gt;=2022/10/1")</f>
        <v>1</v>
      </c>
      <c r="Y79" s="2">
        <f>COUNTIFS(顧客データ!$F$4:$F$1048576,"&gt;=2022/10/1",顧客データ!$F$4:$F$1048576,"&lt;=2022/10/31",顧客データ!$T$4:$T$1048576,"=4件目以上",顧客データ!$D$4:$D$1048576,"=*成約*")</f>
        <v>0</v>
      </c>
      <c r="Z79" s="13">
        <f t="shared" si="90"/>
        <v>0</v>
      </c>
      <c r="AA79" s="2">
        <f>COUNTIFS(顧客データ!$F$4:$F$1048576,"&gt;=2022/11/1",顧客データ!$F$4:$F$1048576,"&lt;=2022/11/30",顧客データ!$T$4:$T$1048576,"=4件目以上",顧客データ!$J$4:$J$1048576,"&gt;=2022/11/1")</f>
        <v>2</v>
      </c>
      <c r="AB79" s="2">
        <f>COUNTIFS(顧客データ!$F$4:$F$1048576,"&gt;=2022/11/1",顧客データ!$F$4:$F$1048576,"&lt;=2022/11/30",顧客データ!$T$4:$T$1048576,"=4件目以上",顧客データ!$D$4:$D$1048576,"=*成約*")</f>
        <v>0</v>
      </c>
      <c r="AC79" s="33">
        <f t="shared" si="91"/>
        <v>0</v>
      </c>
      <c r="AD79" s="2">
        <f>COUNTIFS(顧客データ!$F$4:$F$1048576,"&gt;=2022/12/1",顧客データ!$F$4:$F$1048576,"&lt;=2022/12/31",顧客データ!$T$4:$T$1048576,"=4件目以上",顧客データ!$J$4:$J$1048576,"&gt;=2022/12/1")</f>
        <v>1</v>
      </c>
      <c r="AE79" s="2">
        <f>COUNTIFS(顧客データ!$F$4:$F$1048576,"&gt;=2022/12/1",顧客データ!$F$4:$F$1048576,"&lt;=2022/12/31",顧客データ!$T$4:$T$1048576,"=4件目以上",顧客データ!$D$4:$D$1048576,"=*成約*")</f>
        <v>0</v>
      </c>
      <c r="AF79" s="34">
        <f t="shared" si="92"/>
        <v>0</v>
      </c>
      <c r="AG79" s="2">
        <f>COUNTIFS(顧客データ!$F$4:$F$1048576,"&gt;=2023/1/1",顧客データ!$F$4:$F$1048576,"&lt;=2023/1/31",顧客データ!$T$4:$T$1048576,"=4件目以上",顧客データ!$J$4:$J$1048576,"&gt;=2023/1/1")</f>
        <v>1</v>
      </c>
      <c r="AH79" s="2">
        <f>COUNTIFS(顧客データ!$F$4:$F$1048576,"&gt;=2023/1/1",顧客データ!$F$4:$F$1048576,"&lt;=2023/1/31",顧客データ!$T$4:$T$1048576,"=4件目以上",顧客データ!$D$4:$D$1048576,"=*成約*")</f>
        <v>0</v>
      </c>
      <c r="AI79" s="34">
        <f t="shared" si="93"/>
        <v>0</v>
      </c>
      <c r="AJ79" s="2">
        <f>COUNTIFS(顧客データ!$F$4:$F$1048576,"&gt;=2023/2/1",顧客データ!$F$4:$F$1048576,"&lt;=2023/2/28",顧客データ!$T$4:$T$1048576,"=4件目以上",顧客データ!$J$4:$J$1048576,"&gt;=2023/2/1")</f>
        <v>0</v>
      </c>
      <c r="AK79" s="2">
        <f>COUNTIFS(顧客データ!$F$4:$F$1048576,"&gt;=2023/2/1",顧客データ!$F$4:$F$1048576,"&lt;=2023/2/28",顧客データ!$T$4:$T$1048576,"=4件目以上",顧客データ!$D$4:$D$1048576,"=*成約*")</f>
        <v>0</v>
      </c>
      <c r="AL79" s="34" t="e">
        <f t="shared" si="94"/>
        <v>#DIV/0!</v>
      </c>
      <c r="AM79" s="6">
        <f t="shared" si="95"/>
        <v>11</v>
      </c>
      <c r="AN79" s="6">
        <f t="shared" si="96"/>
        <v>4</v>
      </c>
      <c r="AO79" s="34">
        <f t="shared" si="97"/>
        <v>0.36363636363636365</v>
      </c>
    </row>
  </sheetData>
  <mergeCells count="65">
    <mergeCell ref="AG74:AI74"/>
    <mergeCell ref="AJ74:AL74"/>
    <mergeCell ref="AM74:AO74"/>
    <mergeCell ref="R74:T74"/>
    <mergeCell ref="U74:W74"/>
    <mergeCell ref="X74:Z74"/>
    <mergeCell ref="AA74:AC74"/>
    <mergeCell ref="AD74:AF74"/>
    <mergeCell ref="C74:E74"/>
    <mergeCell ref="F74:H74"/>
    <mergeCell ref="I74:K74"/>
    <mergeCell ref="L74:N74"/>
    <mergeCell ref="O74:Q74"/>
    <mergeCell ref="R21:T21"/>
    <mergeCell ref="C21:E21"/>
    <mergeCell ref="F21:H21"/>
    <mergeCell ref="I21:K21"/>
    <mergeCell ref="L21:N21"/>
    <mergeCell ref="O21:Q21"/>
    <mergeCell ref="AM21:AO21"/>
    <mergeCell ref="C30:E30"/>
    <mergeCell ref="F30:H30"/>
    <mergeCell ref="I30:K30"/>
    <mergeCell ref="L30:N30"/>
    <mergeCell ref="O30:Q30"/>
    <mergeCell ref="R30:T30"/>
    <mergeCell ref="U30:W30"/>
    <mergeCell ref="X30:Z30"/>
    <mergeCell ref="AA30:AC30"/>
    <mergeCell ref="U21:W21"/>
    <mergeCell ref="X21:Z21"/>
    <mergeCell ref="AA21:AC21"/>
    <mergeCell ref="AD21:AF21"/>
    <mergeCell ref="AG21:AI21"/>
    <mergeCell ref="AJ21:AL21"/>
    <mergeCell ref="AD30:AF30"/>
    <mergeCell ref="AG30:AI30"/>
    <mergeCell ref="AJ30:AL30"/>
    <mergeCell ref="AM30:AO30"/>
    <mergeCell ref="C46:E46"/>
    <mergeCell ref="F46:H46"/>
    <mergeCell ref="I46:K46"/>
    <mergeCell ref="L46:N46"/>
    <mergeCell ref="O46:Q46"/>
    <mergeCell ref="R46:T46"/>
    <mergeCell ref="R61:T61"/>
    <mergeCell ref="U61:W61"/>
    <mergeCell ref="X61:Z61"/>
    <mergeCell ref="AA61:AC61"/>
    <mergeCell ref="U46:W46"/>
    <mergeCell ref="X46:Z46"/>
    <mergeCell ref="AA46:AC46"/>
    <mergeCell ref="C61:E61"/>
    <mergeCell ref="F61:H61"/>
    <mergeCell ref="I61:K61"/>
    <mergeCell ref="L61:N61"/>
    <mergeCell ref="O61:Q61"/>
    <mergeCell ref="AD61:AF61"/>
    <mergeCell ref="AG61:AI61"/>
    <mergeCell ref="AJ61:AL61"/>
    <mergeCell ref="AM61:AO61"/>
    <mergeCell ref="AM46:AO46"/>
    <mergeCell ref="AD46:AF46"/>
    <mergeCell ref="AG46:AI46"/>
    <mergeCell ref="AJ46:AL46"/>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顧客データ</vt:lpstr>
      <vt:lpstr>受注日報</vt:lpstr>
      <vt:lpstr>SNS日報</vt:lpstr>
      <vt:lpstr>解析データ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budoonoki</cp:lastModifiedBy>
  <dcterms:created xsi:type="dcterms:W3CDTF">2022-01-13T10:18:42Z</dcterms:created>
  <dcterms:modified xsi:type="dcterms:W3CDTF">2023-02-05T10:06:55Z</dcterms:modified>
</cp:coreProperties>
</file>